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amadeusworkplace-my.sharepoint.com/personal/gbrunstein_amadeus_com/Documents/CFDT work/1-CFDT/1-ReunionInterne/2022/Fusion Paris-Nice/"/>
    </mc:Choice>
  </mc:AlternateContent>
  <xr:revisionPtr revIDLastSave="10" documentId="13_ncr:1_{9B341A7C-7C28-4CE5-AD86-7122FA731F79}" xr6:coauthVersionLast="46" xr6:coauthVersionMax="46" xr10:uidLastSave="{2C482476-D3C0-4E74-BE01-B772C28A3DB4}"/>
  <workbookProtection workbookAlgorithmName="SHA-512" workbookHashValue="8KLAn80nWRUOANoB1Hwn6F0i0cq5l/2lWLQa4yH+ygPmWBp3Vmv6evDu8mi+HTsj3FJi5/gkNs2Tqo2BTvqwZg==" workbookSaltValue="q2T9rSjSjP5sQItneozuSw==" workbookSpinCount="100000" lockStructure="1"/>
  <bookViews>
    <workbookView xWindow="-120" yWindow="-120" windowWidth="24240" windowHeight="13140" tabRatio="675" activeTab="1" xr2:uid="{00000000-000D-0000-FFFF-FFFF00000000}"/>
  </bookViews>
  <sheets>
    <sheet name="Simulateur CFDT " sheetId="32" r:id="rId1"/>
    <sheet name="Aide" sheetId="33" r:id="rId2"/>
    <sheet name="Fusion CFDT " sheetId="30" state="hidden" r:id="rId3"/>
    <sheet name="Amadeus France" sheetId="26" state="hidden" r:id="rId4"/>
    <sheet name="Amadeus sas" sheetId="12" state="hidden" r:id="rId5"/>
    <sheet name="Ex.Slide chiffres" sheetId="29" state="hidden" r:id="rId6"/>
    <sheet name="Simulateur Fusion CFDT" sheetId="20" state="hidden" r:id="rId7"/>
    <sheet name="Aide_FR" sheetId="31" state="hidden" r:id="rId8"/>
    <sheet name="HELP_FR" sheetId="23" state="hidden" r:id="rId9"/>
    <sheet name="HELP_EN" sheetId="25" state="hidden" r:id="rId10"/>
    <sheet name="Proposition 1a" sheetId="28" state="hidden" r:id="rId11"/>
    <sheet name="Sheet1" sheetId="22" state="hidden" r:id="rId12"/>
  </sheets>
  <definedNames>
    <definedName name="Merci__de_mettre_vous_information_dans_toutes" comment="ETAM" localSheetId="0">'Simulateur CFDT '!$D$4</definedName>
    <definedName name="Merci__de_mettre_vous_information_dans_toutes" comment="ETAM">'Fusion CFDT '!$D$4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2" l="1"/>
  <c r="F15" i="12"/>
  <c r="F52" i="12" s="1"/>
  <c r="P52" i="12" s="1"/>
  <c r="F4" i="12"/>
  <c r="H3" i="26"/>
  <c r="H4" i="26"/>
  <c r="G4" i="26"/>
  <c r="G3" i="26"/>
  <c r="O15" i="26"/>
  <c r="O94" i="26" s="1"/>
  <c r="F15" i="26"/>
  <c r="F94" i="26" s="1"/>
  <c r="F4" i="26"/>
  <c r="M69" i="12"/>
  <c r="C11" i="12"/>
  <c r="C33" i="12"/>
  <c r="C70" i="12" s="1"/>
  <c r="D15" i="12"/>
  <c r="D5" i="32" l="1"/>
  <c r="A6" i="33"/>
  <c r="K95" i="26"/>
  <c r="K94" i="26"/>
  <c r="S29" i="32" l="1"/>
  <c r="S28" i="32"/>
  <c r="S27" i="32"/>
  <c r="P39" i="12"/>
  <c r="K39" i="12"/>
  <c r="I43" i="12" a="1"/>
  <c r="I43" i="12" s="1"/>
  <c r="C91" i="26"/>
  <c r="C12" i="26"/>
  <c r="M50" i="12" s="1"/>
  <c r="C11" i="26" a="1"/>
  <c r="C11" i="26" s="1"/>
  <c r="I84" i="26" s="1"/>
  <c r="I42" i="12" s="1"/>
  <c r="D2" i="32"/>
  <c r="C23" i="32"/>
  <c r="C22" i="32"/>
  <c r="I13" i="32"/>
  <c r="G50" i="32"/>
  <c r="E50" i="32"/>
  <c r="I32" i="32"/>
  <c r="D36" i="32"/>
  <c r="D43" i="32" s="1"/>
  <c r="A8" i="33"/>
  <c r="C10" i="26" l="1"/>
  <c r="I83" i="26"/>
  <c r="C33" i="26"/>
  <c r="L33" i="26" s="1"/>
  <c r="D15" i="26"/>
  <c r="M15" i="26" s="1"/>
  <c r="N40" i="12"/>
  <c r="M118" i="26"/>
  <c r="O95" i="26"/>
  <c r="D118" i="26"/>
  <c r="D95" i="26"/>
  <c r="B95" i="26"/>
  <c r="F95" i="26" s="1"/>
  <c r="B94" i="26"/>
  <c r="G82" i="26"/>
  <c r="F28" i="32"/>
  <c r="E33" i="32"/>
  <c r="E40" i="32" s="1"/>
  <c r="D50" i="32" s="1"/>
  <c r="G14" i="32"/>
  <c r="E14" i="32"/>
  <c r="E36" i="32" s="1"/>
  <c r="E43" i="32" s="1"/>
  <c r="C31" i="30"/>
  <c r="A51" i="31"/>
  <c r="A36" i="31"/>
  <c r="A7" i="31"/>
  <c r="A9" i="30"/>
  <c r="O78" i="12"/>
  <c r="N37" i="12" a="1"/>
  <c r="N37" i="12" s="1"/>
  <c r="M37" i="12"/>
  <c r="L37" i="12"/>
  <c r="Q44" i="29"/>
  <c r="K9" i="29"/>
  <c r="K8" i="29"/>
  <c r="Q38" i="29"/>
  <c r="Q37" i="29"/>
  <c r="Q36" i="29"/>
  <c r="F40" i="29"/>
  <c r="Q40" i="29" s="1"/>
  <c r="E40" i="29"/>
  <c r="D40" i="29"/>
  <c r="C40" i="29"/>
  <c r="B40" i="29"/>
  <c r="F39" i="29"/>
  <c r="Q39" i="29" s="1"/>
  <c r="E39" i="29"/>
  <c r="D39" i="29"/>
  <c r="C39" i="29"/>
  <c r="B39" i="29"/>
  <c r="F38" i="29"/>
  <c r="E38" i="29"/>
  <c r="D38" i="29"/>
  <c r="C38" i="29"/>
  <c r="B38" i="29"/>
  <c r="F37" i="29"/>
  <c r="E37" i="29"/>
  <c r="D37" i="29"/>
  <c r="C37" i="29"/>
  <c r="B37" i="29"/>
  <c r="F36" i="29"/>
  <c r="E36" i="29"/>
  <c r="D36" i="29"/>
  <c r="C36" i="29"/>
  <c r="B36" i="29"/>
  <c r="O40" i="29"/>
  <c r="O39" i="29"/>
  <c r="O38" i="29"/>
  <c r="O37" i="29"/>
  <c r="O36" i="29"/>
  <c r="Q9" i="29"/>
  <c r="Q8" i="29"/>
  <c r="Q7" i="29"/>
  <c r="Q6" i="29"/>
  <c r="Q5" i="29"/>
  <c r="P62" i="29"/>
  <c r="Q55" i="29"/>
  <c r="Q54" i="29"/>
  <c r="D11" i="29"/>
  <c r="F62" i="29"/>
  <c r="Q62" i="29" s="1"/>
  <c r="F61" i="29"/>
  <c r="Q61" i="29" s="1"/>
  <c r="F60" i="29"/>
  <c r="Q60" i="29" s="1"/>
  <c r="F59" i="29"/>
  <c r="Q59" i="29" s="1"/>
  <c r="F58" i="29"/>
  <c r="Q58" i="29" s="1"/>
  <c r="F57" i="29"/>
  <c r="Q57" i="29" s="1"/>
  <c r="F56" i="29"/>
  <c r="Q56" i="29" s="1"/>
  <c r="C11" i="29"/>
  <c r="B11" i="29"/>
  <c r="F53" i="29"/>
  <c r="Q53" i="29" s="1"/>
  <c r="F52" i="29"/>
  <c r="Q52" i="29" s="1"/>
  <c r="F51" i="29"/>
  <c r="F50" i="29"/>
  <c r="F49" i="29"/>
  <c r="Q49" i="29" s="1"/>
  <c r="E62" i="29"/>
  <c r="D62" i="29"/>
  <c r="C62" i="29"/>
  <c r="B62" i="29"/>
  <c r="E61" i="29"/>
  <c r="D61" i="29"/>
  <c r="C61" i="29"/>
  <c r="B61" i="29"/>
  <c r="E60" i="29"/>
  <c r="D60" i="29"/>
  <c r="C60" i="29"/>
  <c r="B60" i="29"/>
  <c r="E59" i="29"/>
  <c r="D59" i="29"/>
  <c r="C59" i="29"/>
  <c r="B59" i="29"/>
  <c r="E58" i="29"/>
  <c r="D58" i="29"/>
  <c r="C58" i="29"/>
  <c r="B58" i="29"/>
  <c r="E57" i="29"/>
  <c r="D57" i="29"/>
  <c r="C57" i="29"/>
  <c r="B57" i="29"/>
  <c r="E56" i="29"/>
  <c r="D56" i="29"/>
  <c r="C56" i="29"/>
  <c r="B56" i="29"/>
  <c r="E55" i="29"/>
  <c r="D55" i="29"/>
  <c r="C55" i="29"/>
  <c r="B55" i="29"/>
  <c r="E54" i="29"/>
  <c r="D54" i="29"/>
  <c r="C54" i="29"/>
  <c r="B54" i="29"/>
  <c r="E53" i="29"/>
  <c r="D53" i="29"/>
  <c r="C53" i="29"/>
  <c r="B53" i="29"/>
  <c r="E52" i="29"/>
  <c r="D52" i="29"/>
  <c r="C52" i="29"/>
  <c r="B52" i="29"/>
  <c r="E51" i="29"/>
  <c r="D51" i="29"/>
  <c r="C51" i="29"/>
  <c r="B51" i="29"/>
  <c r="E50" i="29"/>
  <c r="D50" i="29"/>
  <c r="C50" i="29"/>
  <c r="B50" i="29"/>
  <c r="E49" i="29"/>
  <c r="D49" i="29"/>
  <c r="C49" i="29"/>
  <c r="B49" i="29"/>
  <c r="F48" i="29"/>
  <c r="Q48" i="29" s="1"/>
  <c r="E48" i="29"/>
  <c r="D48" i="29"/>
  <c r="C48" i="29"/>
  <c r="B48" i="29"/>
  <c r="F47" i="29"/>
  <c r="Q47" i="29" s="1"/>
  <c r="E47" i="29"/>
  <c r="D47" i="29"/>
  <c r="C47" i="29"/>
  <c r="B47" i="29"/>
  <c r="F46" i="29"/>
  <c r="Q46" i="29" s="1"/>
  <c r="E46" i="29"/>
  <c r="D46" i="29"/>
  <c r="C46" i="29"/>
  <c r="B46" i="29"/>
  <c r="F45" i="29"/>
  <c r="Q45" i="29" s="1"/>
  <c r="E45" i="29"/>
  <c r="D45" i="29"/>
  <c r="C45" i="29"/>
  <c r="B45" i="29"/>
  <c r="F44" i="29"/>
  <c r="D44" i="29"/>
  <c r="C44" i="29"/>
  <c r="B44" i="29"/>
  <c r="E44" i="29"/>
  <c r="A45" i="29"/>
  <c r="A46" i="29" s="1"/>
  <c r="A47" i="29" s="1"/>
  <c r="A48" i="29" s="1"/>
  <c r="A49" i="29" s="1"/>
  <c r="A50" i="29" s="1"/>
  <c r="A51" i="29" s="1"/>
  <c r="A52" i="29" s="1"/>
  <c r="A53" i="29" s="1"/>
  <c r="A54" i="29" s="1"/>
  <c r="A55" i="29" s="1"/>
  <c r="A56" i="29" s="1"/>
  <c r="A57" i="29" s="1"/>
  <c r="A58" i="29" s="1"/>
  <c r="A59" i="29" s="1"/>
  <c r="A60" i="29" s="1"/>
  <c r="A61" i="29" s="1"/>
  <c r="A62" i="29" s="1"/>
  <c r="O62" i="29"/>
  <c r="O61" i="29"/>
  <c r="O60" i="29"/>
  <c r="O59" i="29"/>
  <c r="O58" i="29"/>
  <c r="O57" i="29"/>
  <c r="O56" i="29"/>
  <c r="O55" i="29"/>
  <c r="O54" i="29"/>
  <c r="O53" i="29"/>
  <c r="O52" i="29"/>
  <c r="O51" i="29"/>
  <c r="O50" i="29"/>
  <c r="O49" i="29"/>
  <c r="O48" i="29"/>
  <c r="O47" i="29"/>
  <c r="O46" i="29"/>
  <c r="O45" i="29"/>
  <c r="O31" i="29"/>
  <c r="O30" i="29"/>
  <c r="O29" i="29"/>
  <c r="O28" i="29"/>
  <c r="O27" i="29"/>
  <c r="O26" i="29"/>
  <c r="O25" i="29"/>
  <c r="O24" i="29"/>
  <c r="O23" i="29"/>
  <c r="O22" i="29"/>
  <c r="O21" i="29"/>
  <c r="O20" i="29"/>
  <c r="Q51" i="29" s="1"/>
  <c r="O19" i="29"/>
  <c r="Q50" i="29" s="1"/>
  <c r="O18" i="29"/>
  <c r="O17" i="29"/>
  <c r="O16" i="29"/>
  <c r="O15" i="29"/>
  <c r="O14" i="29"/>
  <c r="Q31" i="29"/>
  <c r="Q30" i="29"/>
  <c r="Q29" i="29"/>
  <c r="Q28" i="29"/>
  <c r="Q27" i="29"/>
  <c r="Q26" i="29"/>
  <c r="Q25" i="29"/>
  <c r="Q24" i="29"/>
  <c r="Q23" i="29"/>
  <c r="Q22" i="29"/>
  <c r="Q21" i="29"/>
  <c r="Q20" i="29"/>
  <c r="Q19" i="29"/>
  <c r="Q18" i="29"/>
  <c r="Q17" i="29"/>
  <c r="Q16" i="29"/>
  <c r="Q15" i="29"/>
  <c r="Q14" i="29"/>
  <c r="P13" i="29"/>
  <c r="Q13" i="29" s="1"/>
  <c r="O44" i="29"/>
  <c r="K31" i="29"/>
  <c r="K30" i="29"/>
  <c r="K29" i="29"/>
  <c r="K28" i="29"/>
  <c r="K27" i="29"/>
  <c r="K26" i="29"/>
  <c r="K25" i="29"/>
  <c r="K24" i="29"/>
  <c r="K23" i="29"/>
  <c r="K22" i="29"/>
  <c r="K21" i="29"/>
  <c r="K20" i="29"/>
  <c r="K19" i="29"/>
  <c r="K18" i="29"/>
  <c r="K17" i="29"/>
  <c r="K16" i="29"/>
  <c r="K15" i="29"/>
  <c r="K14" i="29"/>
  <c r="K13" i="29"/>
  <c r="O13" i="29"/>
  <c r="K62" i="29"/>
  <c r="K61" i="29"/>
  <c r="K60" i="29"/>
  <c r="K59" i="29"/>
  <c r="K58" i="29"/>
  <c r="K57" i="29"/>
  <c r="K56" i="29"/>
  <c r="K55" i="29"/>
  <c r="K54" i="29"/>
  <c r="K53" i="29"/>
  <c r="K52" i="29"/>
  <c r="K51" i="29"/>
  <c r="K50" i="29"/>
  <c r="K49" i="29"/>
  <c r="K48" i="29"/>
  <c r="K47" i="29"/>
  <c r="K46" i="29"/>
  <c r="K45" i="29"/>
  <c r="K44" i="29"/>
  <c r="K40" i="29"/>
  <c r="K39" i="29"/>
  <c r="K38" i="29"/>
  <c r="K37" i="29"/>
  <c r="K36" i="29"/>
  <c r="O9" i="29"/>
  <c r="O8" i="29"/>
  <c r="O7" i="29"/>
  <c r="O6" i="29"/>
  <c r="O5" i="29"/>
  <c r="K7" i="29"/>
  <c r="K6" i="29"/>
  <c r="K5" i="29"/>
  <c r="A14" i="29"/>
  <c r="A15" i="29" s="1"/>
  <c r="A16" i="29" s="1"/>
  <c r="A17" i="29" s="1"/>
  <c r="A18" i="29" s="1"/>
  <c r="A19" i="29" s="1"/>
  <c r="A20" i="29" s="1"/>
  <c r="A21" i="29" s="1"/>
  <c r="A22" i="29" s="1"/>
  <c r="A23" i="29" s="1"/>
  <c r="A24" i="29" s="1"/>
  <c r="A25" i="29" s="1"/>
  <c r="A26" i="29" s="1"/>
  <c r="A27" i="29" s="1"/>
  <c r="A28" i="29" s="1"/>
  <c r="A29" i="29" s="1"/>
  <c r="A30" i="29" s="1"/>
  <c r="A31" i="29" s="1"/>
  <c r="I40" i="29"/>
  <c r="I39" i="29"/>
  <c r="I38" i="29"/>
  <c r="I37" i="29"/>
  <c r="A6" i="29"/>
  <c r="A7" i="29" s="1"/>
  <c r="A8" i="29" s="1"/>
  <c r="A9" i="29" s="1"/>
  <c r="I36" i="29"/>
  <c r="D52" i="12"/>
  <c r="N52" i="12" s="1"/>
  <c r="N92" i="12" s="1"/>
  <c r="C39" i="30"/>
  <c r="L42" i="29" s="1"/>
  <c r="N116" i="12"/>
  <c r="O106" i="12"/>
  <c r="L106" i="12"/>
  <c r="N106" i="12" s="1"/>
  <c r="O105" i="12"/>
  <c r="O104" i="12"/>
  <c r="O94" i="12"/>
  <c r="L93" i="12"/>
  <c r="P93" i="12" s="1"/>
  <c r="L92" i="12"/>
  <c r="P92" i="12" s="1"/>
  <c r="C34" i="30"/>
  <c r="L11" i="29" s="1"/>
  <c r="G40" i="12"/>
  <c r="P78" i="12"/>
  <c r="K78" i="12"/>
  <c r="L53" i="12"/>
  <c r="P53" i="12" s="1"/>
  <c r="L52" i="12"/>
  <c r="B53" i="12"/>
  <c r="F53" i="12" s="1"/>
  <c r="B52" i="12"/>
  <c r="B15" i="12"/>
  <c r="L10" i="26" l="1"/>
  <c r="K19" i="26" s="1"/>
  <c r="B19" i="26"/>
  <c r="D94" i="26"/>
  <c r="M94" i="26" s="1"/>
  <c r="D21" i="32"/>
  <c r="I41" i="12"/>
  <c r="C90" i="26"/>
  <c r="H33" i="32"/>
  <c r="H40" i="32" s="1"/>
  <c r="G36" i="32"/>
  <c r="G43" i="32" s="1"/>
  <c r="C112" i="26"/>
  <c r="Q97" i="26"/>
  <c r="M95" i="26"/>
  <c r="H97" i="26"/>
  <c r="F33" i="32"/>
  <c r="F40" i="32" s="1"/>
  <c r="P106" i="12"/>
  <c r="M88" i="12"/>
  <c r="R95" i="12"/>
  <c r="G39" i="30" s="1"/>
  <c r="N93" i="12"/>
  <c r="Q95" i="12" s="1"/>
  <c r="F39" i="30" s="1"/>
  <c r="N53" i="12"/>
  <c r="D53" i="12"/>
  <c r="G97" i="26" l="1"/>
  <c r="P97" i="26"/>
  <c r="C89" i="26"/>
  <c r="M42" i="12"/>
  <c r="M41" i="12"/>
  <c r="M40" i="12"/>
  <c r="L112" i="26"/>
  <c r="M70" i="12"/>
  <c r="M110" i="12" s="1"/>
  <c r="C32" i="12"/>
  <c r="C26" i="12"/>
  <c r="M33" i="12" l="1"/>
  <c r="B98" i="26"/>
  <c r="L89" i="26"/>
  <c r="M39" i="12"/>
  <c r="M78" i="12" s="1"/>
  <c r="E9" i="30"/>
  <c r="N76" i="12"/>
  <c r="O66" i="12"/>
  <c r="L66" i="12"/>
  <c r="N66" i="12" s="1"/>
  <c r="O65" i="12"/>
  <c r="O64" i="12"/>
  <c r="O54" i="12"/>
  <c r="D46" i="20"/>
  <c r="F56" i="20"/>
  <c r="G56" i="20"/>
  <c r="B45" i="28"/>
  <c r="B118" i="28"/>
  <c r="B117" i="28"/>
  <c r="B113" i="28"/>
  <c r="D140" i="28"/>
  <c r="E131" i="28"/>
  <c r="E130" i="28"/>
  <c r="E129" i="28"/>
  <c r="E119" i="28"/>
  <c r="F118" i="28"/>
  <c r="D118" i="28"/>
  <c r="F117" i="28"/>
  <c r="B84" i="28"/>
  <c r="F84" i="28" s="1"/>
  <c r="B83" i="28"/>
  <c r="F83" i="28" s="1"/>
  <c r="D106" i="28"/>
  <c r="E97" i="28"/>
  <c r="E96" i="28"/>
  <c r="E95" i="28"/>
  <c r="E85" i="28"/>
  <c r="L140" i="28"/>
  <c r="J118" i="28"/>
  <c r="N118" i="28" s="1"/>
  <c r="J117" i="28"/>
  <c r="L117" i="28" s="1"/>
  <c r="J84" i="28"/>
  <c r="J83" i="28"/>
  <c r="N83" i="28" s="1"/>
  <c r="O63" i="20"/>
  <c r="O53" i="20"/>
  <c r="B10" i="28"/>
  <c r="J10" i="28" s="1"/>
  <c r="L106" i="28"/>
  <c r="N84" i="28"/>
  <c r="B50" i="28"/>
  <c r="D50" i="28" s="1"/>
  <c r="B49" i="28"/>
  <c r="B15" i="28"/>
  <c r="B14" i="28"/>
  <c r="D72" i="28"/>
  <c r="E63" i="28"/>
  <c r="E62" i="28"/>
  <c r="E61" i="28"/>
  <c r="E51" i="28"/>
  <c r="F49" i="28"/>
  <c r="C3" i="28"/>
  <c r="C39" i="28"/>
  <c r="E28" i="28"/>
  <c r="E27" i="28"/>
  <c r="E26" i="28"/>
  <c r="E16" i="28"/>
  <c r="M28" i="28"/>
  <c r="M27" i="28"/>
  <c r="M26" i="28"/>
  <c r="M16" i="28"/>
  <c r="L37" i="28"/>
  <c r="D37" i="28"/>
  <c r="J15" i="28"/>
  <c r="L15" i="28" s="1"/>
  <c r="F15" i="28"/>
  <c r="J14" i="28"/>
  <c r="L14" i="28" s="1"/>
  <c r="F14" i="28"/>
  <c r="B80" i="26"/>
  <c r="D80" i="26" s="1"/>
  <c r="D79" i="26"/>
  <c r="E79" i="26" s="1"/>
  <c r="E80" i="26" s="1"/>
  <c r="P55" i="26"/>
  <c r="H55" i="26"/>
  <c r="K53" i="26"/>
  <c r="M53" i="26" s="1"/>
  <c r="K52" i="26"/>
  <c r="M52" i="26" s="1"/>
  <c r="M75" i="26"/>
  <c r="D75" i="26"/>
  <c r="B53" i="26"/>
  <c r="F53" i="26" s="1"/>
  <c r="C49" i="26" s="1"/>
  <c r="B52" i="26"/>
  <c r="F52" i="26" s="1"/>
  <c r="C47" i="26"/>
  <c r="L47" i="26" s="1"/>
  <c r="H55" i="12"/>
  <c r="G31" i="30" s="1"/>
  <c r="G55" i="12"/>
  <c r="F31" i="30" s="1"/>
  <c r="D76" i="12"/>
  <c r="E66" i="12"/>
  <c r="E65" i="12"/>
  <c r="E64" i="12"/>
  <c r="E54" i="12"/>
  <c r="C49" i="12"/>
  <c r="B16" i="12"/>
  <c r="K16" i="26"/>
  <c r="B16" i="26"/>
  <c r="K15" i="26"/>
  <c r="B15" i="26"/>
  <c r="M39" i="26"/>
  <c r="D39" i="26"/>
  <c r="D39" i="12"/>
  <c r="E29" i="12"/>
  <c r="E28" i="12"/>
  <c r="E27" i="12"/>
  <c r="E17" i="12"/>
  <c r="H13" i="29" l="1"/>
  <c r="H11" i="29"/>
  <c r="P66" i="12"/>
  <c r="H31" i="30"/>
  <c r="R55" i="12"/>
  <c r="G34" i="30" s="1"/>
  <c r="D45" i="20"/>
  <c r="K11" i="28" s="1"/>
  <c r="E7" i="20"/>
  <c r="A11" i="20" s="1"/>
  <c r="H120" i="28"/>
  <c r="D117" i="28"/>
  <c r="D83" i="28"/>
  <c r="D84" i="28"/>
  <c r="H86" i="28"/>
  <c r="N117" i="28"/>
  <c r="L118" i="28"/>
  <c r="F22" i="20"/>
  <c r="J22" i="20"/>
  <c r="C46" i="28"/>
  <c r="C114" i="28" s="1"/>
  <c r="C113" i="28" s="1"/>
  <c r="C112" i="28" s="1"/>
  <c r="C11" i="28"/>
  <c r="F50" i="28"/>
  <c r="H52" i="28" s="1"/>
  <c r="L83" i="28"/>
  <c r="P86" i="28"/>
  <c r="L84" i="28"/>
  <c r="D49" i="28"/>
  <c r="N14" i="28"/>
  <c r="D15" i="28"/>
  <c r="N15" i="28"/>
  <c r="K10" i="28"/>
  <c r="K9" i="28" s="1"/>
  <c r="H17" i="28"/>
  <c r="O17" i="28"/>
  <c r="D14" i="28"/>
  <c r="O52" i="26"/>
  <c r="O53" i="26"/>
  <c r="L49" i="26" s="1"/>
  <c r="K56" i="26" s="1"/>
  <c r="B56" i="26"/>
  <c r="D52" i="26"/>
  <c r="D53" i="26"/>
  <c r="A50" i="25"/>
  <c r="A35" i="25"/>
  <c r="A7" i="25"/>
  <c r="A36" i="23"/>
  <c r="A51" i="23"/>
  <c r="A7" i="23"/>
  <c r="Q55" i="26" l="1"/>
  <c r="G55" i="26"/>
  <c r="M81" i="12"/>
  <c r="M80" i="12"/>
  <c r="M79" i="12"/>
  <c r="M87" i="12" s="1"/>
  <c r="Q55" i="12"/>
  <c r="F34" i="30" s="1"/>
  <c r="H34" i="30" s="1"/>
  <c r="J113" i="28"/>
  <c r="B79" i="28"/>
  <c r="G55" i="20"/>
  <c r="F55" i="20"/>
  <c r="J79" i="28"/>
  <c r="D66" i="20"/>
  <c r="B121" i="28"/>
  <c r="F121" i="28" s="1"/>
  <c r="G120" i="28"/>
  <c r="K114" i="28"/>
  <c r="K113" i="28" s="1"/>
  <c r="K112" i="28" s="1"/>
  <c r="C80" i="28"/>
  <c r="G86" i="28"/>
  <c r="O120" i="28"/>
  <c r="P120" i="28"/>
  <c r="K80" i="28"/>
  <c r="C45" i="28"/>
  <c r="O86" i="28"/>
  <c r="P17" i="28"/>
  <c r="G52" i="28"/>
  <c r="J18" i="28"/>
  <c r="G17" i="28"/>
  <c r="K69" i="26"/>
  <c r="K67" i="26"/>
  <c r="O67" i="26" s="1"/>
  <c r="K57" i="26"/>
  <c r="O57" i="26" s="1"/>
  <c r="K60" i="26"/>
  <c r="K63" i="26" s="1"/>
  <c r="K72" i="26"/>
  <c r="K70" i="26"/>
  <c r="O56" i="26"/>
  <c r="F56" i="26"/>
  <c r="B72" i="26"/>
  <c r="B69" i="26"/>
  <c r="B57" i="26"/>
  <c r="F57" i="26" s="1"/>
  <c r="B67" i="26"/>
  <c r="F67" i="26" s="1"/>
  <c r="B60" i="26"/>
  <c r="B70" i="26"/>
  <c r="M86" i="12" l="1"/>
  <c r="L96" i="12" s="1"/>
  <c r="K86" i="12"/>
  <c r="C79" i="28"/>
  <c r="C78" i="28" s="1"/>
  <c r="B137" i="28"/>
  <c r="F136" i="28" s="1"/>
  <c r="B135" i="28"/>
  <c r="F135" i="28" s="1"/>
  <c r="B134" i="28"/>
  <c r="F134" i="28" s="1"/>
  <c r="B132" i="28"/>
  <c r="F132" i="28" s="1"/>
  <c r="B125" i="28"/>
  <c r="B128" i="28" s="1"/>
  <c r="B122" i="28"/>
  <c r="F122" i="28" s="1"/>
  <c r="H55" i="20"/>
  <c r="G57" i="20"/>
  <c r="G58" i="20" s="1"/>
  <c r="B87" i="28"/>
  <c r="D68" i="20"/>
  <c r="C44" i="28"/>
  <c r="K79" i="28"/>
  <c r="K78" i="28" s="1"/>
  <c r="J87" i="28" s="1"/>
  <c r="J121" i="28"/>
  <c r="D69" i="20"/>
  <c r="G59" i="20"/>
  <c r="F57" i="20"/>
  <c r="J16" i="28"/>
  <c r="J119" i="28" s="1"/>
  <c r="O70" i="26"/>
  <c r="M70" i="26"/>
  <c r="O60" i="26"/>
  <c r="M60" i="26"/>
  <c r="O69" i="26"/>
  <c r="M69" i="26"/>
  <c r="O72" i="26"/>
  <c r="O71" i="26"/>
  <c r="F72" i="26"/>
  <c r="F71" i="26"/>
  <c r="F70" i="26"/>
  <c r="D70" i="26"/>
  <c r="B63" i="26"/>
  <c r="F60" i="26"/>
  <c r="D60" i="26"/>
  <c r="F69" i="26"/>
  <c r="D69" i="26"/>
  <c r="F137" i="28" l="1"/>
  <c r="D135" i="28"/>
  <c r="D134" i="28"/>
  <c r="H56" i="20"/>
  <c r="D125" i="28"/>
  <c r="F125" i="28"/>
  <c r="B53" i="28"/>
  <c r="B67" i="28" s="1"/>
  <c r="D67" i="28" s="1"/>
  <c r="D128" i="28"/>
  <c r="F128" i="28"/>
  <c r="D67" i="20"/>
  <c r="B103" i="28"/>
  <c r="B101" i="28"/>
  <c r="B100" i="28"/>
  <c r="B98" i="28"/>
  <c r="F98" i="28" s="1"/>
  <c r="B88" i="28"/>
  <c r="F88" i="28" s="1"/>
  <c r="B91" i="28"/>
  <c r="F87" i="28"/>
  <c r="J85" i="28"/>
  <c r="J86" i="28" s="1"/>
  <c r="J122" i="28"/>
  <c r="N122" i="28" s="1"/>
  <c r="J134" i="28"/>
  <c r="J120" i="28"/>
  <c r="J132" i="28"/>
  <c r="N132" i="28" s="1"/>
  <c r="J125" i="28"/>
  <c r="N121" i="28"/>
  <c r="J135" i="28"/>
  <c r="J137" i="28"/>
  <c r="J21" i="28"/>
  <c r="N21" i="28" s="1"/>
  <c r="J91" i="28"/>
  <c r="J101" i="28"/>
  <c r="J98" i="28"/>
  <c r="N98" i="28" s="1"/>
  <c r="N87" i="28"/>
  <c r="J103" i="28"/>
  <c r="J100" i="28"/>
  <c r="J88" i="28"/>
  <c r="N88" i="28" s="1"/>
  <c r="H57" i="20"/>
  <c r="F59" i="20"/>
  <c r="H59" i="20" s="1"/>
  <c r="F58" i="20"/>
  <c r="H58" i="20" s="1"/>
  <c r="J17" i="28"/>
  <c r="C10" i="28"/>
  <c r="M63" i="26"/>
  <c r="O63" i="26"/>
  <c r="F63" i="26"/>
  <c r="D63" i="26"/>
  <c r="N81" i="12" l="1"/>
  <c r="N80" i="12"/>
  <c r="N79" i="12"/>
  <c r="N41" i="12"/>
  <c r="B69" i="28"/>
  <c r="F69" i="28" s="1"/>
  <c r="B54" i="28"/>
  <c r="F54" i="28" s="1"/>
  <c r="B57" i="28"/>
  <c r="D57" i="28" s="1"/>
  <c r="F53" i="28"/>
  <c r="B51" i="28"/>
  <c r="B52" i="28" s="1"/>
  <c r="F52" i="28" s="1"/>
  <c r="B64" i="28"/>
  <c r="F64" i="28" s="1"/>
  <c r="B66" i="28"/>
  <c r="F66" i="28" s="1"/>
  <c r="F68" i="28"/>
  <c r="F101" i="28"/>
  <c r="D101" i="28"/>
  <c r="D100" i="28"/>
  <c r="F100" i="28"/>
  <c r="F103" i="28"/>
  <c r="F102" i="28"/>
  <c r="C9" i="28"/>
  <c r="D55" i="20" s="1"/>
  <c r="B94" i="28"/>
  <c r="F91" i="28"/>
  <c r="D91" i="28"/>
  <c r="J23" i="28"/>
  <c r="J26" i="28" s="1"/>
  <c r="L21" i="28"/>
  <c r="F67" i="28"/>
  <c r="J131" i="28"/>
  <c r="N119" i="28"/>
  <c r="L119" i="28"/>
  <c r="J124" i="28"/>
  <c r="N135" i="28"/>
  <c r="L135" i="28"/>
  <c r="N137" i="28"/>
  <c r="N136" i="28"/>
  <c r="J128" i="28"/>
  <c r="N125" i="28"/>
  <c r="L125" i="28"/>
  <c r="J127" i="28"/>
  <c r="N120" i="28"/>
  <c r="L120" i="28"/>
  <c r="J130" i="28"/>
  <c r="N134" i="28"/>
  <c r="L134" i="28"/>
  <c r="J97" i="28"/>
  <c r="L97" i="28" s="1"/>
  <c r="N103" i="28"/>
  <c r="N102" i="28"/>
  <c r="N101" i="28"/>
  <c r="L101" i="28"/>
  <c r="J94" i="28"/>
  <c r="N91" i="28"/>
  <c r="L91" i="28"/>
  <c r="J93" i="28"/>
  <c r="N86" i="28"/>
  <c r="J96" i="28"/>
  <c r="L86" i="28"/>
  <c r="N85" i="28"/>
  <c r="J90" i="28"/>
  <c r="L85" i="28"/>
  <c r="L100" i="28"/>
  <c r="N100" i="28"/>
  <c r="J31" i="28"/>
  <c r="J34" i="28"/>
  <c r="J32" i="28"/>
  <c r="J22" i="28"/>
  <c r="J19" i="28"/>
  <c r="N18" i="28"/>
  <c r="J29" i="28"/>
  <c r="N29" i="28" s="1"/>
  <c r="L16" i="28"/>
  <c r="N16" i="28"/>
  <c r="D16" i="26"/>
  <c r="F16" i="26"/>
  <c r="D16" i="12"/>
  <c r="F16" i="12"/>
  <c r="C12" i="12" s="1"/>
  <c r="C10" i="12" s="1"/>
  <c r="B19" i="12" l="1"/>
  <c r="D47" i="20" s="1"/>
  <c r="D23" i="30"/>
  <c r="I42" i="29" s="1"/>
  <c r="B17" i="12"/>
  <c r="O81" i="12"/>
  <c r="O80" i="12"/>
  <c r="O42" i="12"/>
  <c r="O79" i="12"/>
  <c r="O41" i="12"/>
  <c r="O40" i="12"/>
  <c r="N42" i="12"/>
  <c r="F57" i="28"/>
  <c r="D60" i="20"/>
  <c r="B18" i="28"/>
  <c r="B19" i="28" s="1"/>
  <c r="F19" i="28" s="1"/>
  <c r="D56" i="20"/>
  <c r="B60" i="28"/>
  <c r="F60" i="28" s="1"/>
  <c r="D66" i="28"/>
  <c r="B56" i="28"/>
  <c r="F56" i="28" s="1"/>
  <c r="D51" i="28"/>
  <c r="F51" i="28"/>
  <c r="H53" i="28" s="1"/>
  <c r="N23" i="28"/>
  <c r="D52" i="28"/>
  <c r="B59" i="28"/>
  <c r="F59" i="28" s="1"/>
  <c r="B62" i="28"/>
  <c r="D62" i="28" s="1"/>
  <c r="F94" i="28"/>
  <c r="D94" i="28"/>
  <c r="L23" i="28"/>
  <c r="P121" i="28"/>
  <c r="J69" i="20" s="1"/>
  <c r="O121" i="28"/>
  <c r="I69" i="20" s="1"/>
  <c r="N124" i="28"/>
  <c r="J126" i="28"/>
  <c r="L124" i="28"/>
  <c r="D60" i="28"/>
  <c r="O87" i="28"/>
  <c r="I67" i="20" s="1"/>
  <c r="N131" i="28"/>
  <c r="L131" i="28"/>
  <c r="N127" i="28"/>
  <c r="L127" i="28"/>
  <c r="L128" i="28"/>
  <c r="N128" i="28"/>
  <c r="L130" i="28"/>
  <c r="N130" i="28"/>
  <c r="N97" i="28"/>
  <c r="P87" i="28"/>
  <c r="J67" i="20" s="1"/>
  <c r="L93" i="28"/>
  <c r="N93" i="28"/>
  <c r="L94" i="28"/>
  <c r="N94" i="28"/>
  <c r="L96" i="28"/>
  <c r="N96" i="28"/>
  <c r="J92" i="28"/>
  <c r="L90" i="28"/>
  <c r="N90" i="28"/>
  <c r="N26" i="28"/>
  <c r="L26" i="28"/>
  <c r="B16" i="28"/>
  <c r="B32" i="28"/>
  <c r="D32" i="28" s="1"/>
  <c r="B34" i="28"/>
  <c r="F33" i="28" s="1"/>
  <c r="F18" i="28"/>
  <c r="J25" i="28"/>
  <c r="L22" i="28"/>
  <c r="N22" i="28"/>
  <c r="N32" i="28"/>
  <c r="L32" i="28"/>
  <c r="N19" i="28"/>
  <c r="N34" i="28"/>
  <c r="N33" i="28"/>
  <c r="N31" i="28"/>
  <c r="L31" i="28"/>
  <c r="J27" i="28"/>
  <c r="L17" i="28"/>
  <c r="N17" i="28"/>
  <c r="J24" i="28"/>
  <c r="G18" i="26"/>
  <c r="H18" i="26"/>
  <c r="G46" i="20" s="1"/>
  <c r="G61" i="20" s="1"/>
  <c r="O16" i="26"/>
  <c r="M16" i="26"/>
  <c r="G18" i="12"/>
  <c r="H18" i="12"/>
  <c r="B20" i="12"/>
  <c r="F20" i="12" s="1"/>
  <c r="F19" i="12"/>
  <c r="B36" i="12"/>
  <c r="B32" i="12"/>
  <c r="B33" i="12" s="1"/>
  <c r="D33" i="12" s="1"/>
  <c r="B23" i="12"/>
  <c r="B30" i="12"/>
  <c r="F30" i="12" s="1"/>
  <c r="B34" i="12"/>
  <c r="M48" i="12" l="1"/>
  <c r="D23" i="32" s="1"/>
  <c r="K47" i="12"/>
  <c r="B22" i="12"/>
  <c r="D17" i="12"/>
  <c r="F17" i="12"/>
  <c r="B18" i="12"/>
  <c r="D18" i="12" s="1"/>
  <c r="G19" i="12" s="1"/>
  <c r="I23" i="30" s="1"/>
  <c r="L100" i="12"/>
  <c r="D39" i="30"/>
  <c r="L94" i="12"/>
  <c r="N94" i="12" s="1"/>
  <c r="L109" i="12"/>
  <c r="L97" i="12"/>
  <c r="P97" i="12" s="1"/>
  <c r="L111" i="12"/>
  <c r="F47" i="20"/>
  <c r="F23" i="30"/>
  <c r="G47" i="20"/>
  <c r="G23" i="30"/>
  <c r="F46" i="20"/>
  <c r="F61" i="20" s="1"/>
  <c r="B29" i="28"/>
  <c r="F29" i="28" s="1"/>
  <c r="B22" i="28"/>
  <c r="F22" i="28" s="1"/>
  <c r="B31" i="28"/>
  <c r="F31" i="28" s="1"/>
  <c r="D61" i="20"/>
  <c r="D57" i="20"/>
  <c r="D58" i="20" s="1"/>
  <c r="G53" i="28"/>
  <c r="D59" i="20"/>
  <c r="D56" i="28"/>
  <c r="B58" i="28"/>
  <c r="B61" i="28" s="1"/>
  <c r="F61" i="28" s="1"/>
  <c r="F62" i="28"/>
  <c r="D59" i="28"/>
  <c r="B63" i="28"/>
  <c r="F63" i="28" s="1"/>
  <c r="B85" i="28"/>
  <c r="F85" i="28" s="1"/>
  <c r="B119" i="28"/>
  <c r="K69" i="20"/>
  <c r="K67" i="20"/>
  <c r="J129" i="28"/>
  <c r="N126" i="28"/>
  <c r="L126" i="28"/>
  <c r="O125" i="28" s="1"/>
  <c r="O126" i="28" s="1"/>
  <c r="J95" i="28"/>
  <c r="N92" i="28"/>
  <c r="L92" i="28"/>
  <c r="O91" i="28" s="1"/>
  <c r="O92" i="28" s="1"/>
  <c r="B21" i="28"/>
  <c r="F16" i="28"/>
  <c r="D16" i="28"/>
  <c r="B17" i="28"/>
  <c r="D22" i="28"/>
  <c r="D31" i="28"/>
  <c r="F32" i="28"/>
  <c r="F34" i="28"/>
  <c r="B25" i="28"/>
  <c r="D25" i="28" s="1"/>
  <c r="L24" i="28"/>
  <c r="N24" i="28"/>
  <c r="P18" i="28"/>
  <c r="O18" i="28"/>
  <c r="N25" i="28"/>
  <c r="L25" i="28"/>
  <c r="J28" i="28"/>
  <c r="N27" i="28"/>
  <c r="L27" i="28"/>
  <c r="Q18" i="26"/>
  <c r="P18" i="26"/>
  <c r="F34" i="12"/>
  <c r="D34" i="12"/>
  <c r="D23" i="12"/>
  <c r="B26" i="12"/>
  <c r="F23" i="12"/>
  <c r="F36" i="12"/>
  <c r="F35" i="12"/>
  <c r="D32" i="12"/>
  <c r="F32" i="12"/>
  <c r="M49" i="12" l="1"/>
  <c r="M47" i="12" s="1"/>
  <c r="F18" i="12"/>
  <c r="G45" i="20"/>
  <c r="G60" i="20" s="1"/>
  <c r="G22" i="30"/>
  <c r="B25" i="12"/>
  <c r="D25" i="12" s="1"/>
  <c r="B28" i="12"/>
  <c r="B29" i="12" s="1"/>
  <c r="F22" i="12"/>
  <c r="B24" i="12"/>
  <c r="D22" i="12"/>
  <c r="P96" i="12"/>
  <c r="L107" i="12"/>
  <c r="P107" i="12" s="1"/>
  <c r="L113" i="12"/>
  <c r="P113" i="12" s="1"/>
  <c r="F45" i="20"/>
  <c r="F60" i="20" s="1"/>
  <c r="F22" i="30"/>
  <c r="F40" i="30" s="1"/>
  <c r="L99" i="12"/>
  <c r="L101" i="12" s="1"/>
  <c r="L95" i="12"/>
  <c r="L105" i="12" s="1"/>
  <c r="M42" i="29"/>
  <c r="P94" i="12"/>
  <c r="H47" i="20"/>
  <c r="H46" i="20"/>
  <c r="H61" i="20" s="1"/>
  <c r="F49" i="20"/>
  <c r="N111" i="12"/>
  <c r="P111" i="12"/>
  <c r="L110" i="12"/>
  <c r="N110" i="12" s="1"/>
  <c r="N109" i="12"/>
  <c r="P109" i="12"/>
  <c r="N100" i="12"/>
  <c r="P100" i="12"/>
  <c r="G49" i="20"/>
  <c r="G24" i="30"/>
  <c r="H23" i="30"/>
  <c r="I47" i="20"/>
  <c r="D61" i="28"/>
  <c r="D58" i="28"/>
  <c r="G57" i="28" s="1"/>
  <c r="G58" i="28" s="1"/>
  <c r="F58" i="28"/>
  <c r="D63" i="28"/>
  <c r="G50" i="28" s="1"/>
  <c r="G51" i="28" s="1"/>
  <c r="B90" i="28"/>
  <c r="B92" i="28" s="1"/>
  <c r="B86" i="28"/>
  <c r="B97" i="28" s="1"/>
  <c r="F97" i="28" s="1"/>
  <c r="D85" i="28"/>
  <c r="B120" i="28"/>
  <c r="B131" i="28" s="1"/>
  <c r="B124" i="28"/>
  <c r="D119" i="28"/>
  <c r="F119" i="28"/>
  <c r="N129" i="28"/>
  <c r="L129" i="28"/>
  <c r="N95" i="28"/>
  <c r="L95" i="28"/>
  <c r="H19" i="12"/>
  <c r="J23" i="30" s="1"/>
  <c r="H61" i="28"/>
  <c r="H50" i="28"/>
  <c r="F44" i="28"/>
  <c r="H44" i="28" s="1"/>
  <c r="H45" i="28" s="1"/>
  <c r="B27" i="28"/>
  <c r="F17" i="28"/>
  <c r="H18" i="28" s="1"/>
  <c r="D17" i="28"/>
  <c r="G18" i="28" s="1"/>
  <c r="B24" i="28"/>
  <c r="B23" i="28"/>
  <c r="F21" i="28"/>
  <c r="D21" i="28"/>
  <c r="F25" i="28"/>
  <c r="O22" i="28"/>
  <c r="O23" i="28" s="1"/>
  <c r="N28" i="28"/>
  <c r="P15" i="28" s="1"/>
  <c r="J33" i="28" s="1"/>
  <c r="L28" i="28"/>
  <c r="H45" i="20"/>
  <c r="H60" i="20" s="1"/>
  <c r="G48" i="20"/>
  <c r="D26" i="12"/>
  <c r="F26" i="12"/>
  <c r="L54" i="12" l="1"/>
  <c r="D34" i="30"/>
  <c r="M11" i="29" s="1"/>
  <c r="L56" i="12"/>
  <c r="L71" i="12" s="1"/>
  <c r="N71" i="12" s="1"/>
  <c r="D28" i="12"/>
  <c r="F28" i="12"/>
  <c r="F25" i="12"/>
  <c r="G40" i="30"/>
  <c r="G32" i="30"/>
  <c r="G35" i="30"/>
  <c r="F48" i="20"/>
  <c r="D24" i="12"/>
  <c r="G23" i="12" s="1"/>
  <c r="G24" i="12" s="1"/>
  <c r="B27" i="12"/>
  <c r="F24" i="12"/>
  <c r="N99" i="12"/>
  <c r="P99" i="12"/>
  <c r="P112" i="12"/>
  <c r="H49" i="20"/>
  <c r="F35" i="30"/>
  <c r="F32" i="30"/>
  <c r="H22" i="30"/>
  <c r="H35" i="30" s="1"/>
  <c r="F24" i="30"/>
  <c r="P95" i="12"/>
  <c r="R96" i="12" s="1"/>
  <c r="J39" i="30" s="1"/>
  <c r="L102" i="12"/>
  <c r="N95" i="12"/>
  <c r="Q96" i="12" s="1"/>
  <c r="I39" i="30" s="1"/>
  <c r="P105" i="12"/>
  <c r="N105" i="12"/>
  <c r="L104" i="12"/>
  <c r="P101" i="12"/>
  <c r="N101" i="12"/>
  <c r="K23" i="30"/>
  <c r="J47" i="20"/>
  <c r="K47" i="20" s="1"/>
  <c r="I55" i="20"/>
  <c r="I56" i="20"/>
  <c r="J56" i="20"/>
  <c r="J55" i="20"/>
  <c r="K55" i="20" s="1"/>
  <c r="G61" i="28"/>
  <c r="H62" i="28" s="1"/>
  <c r="D97" i="28"/>
  <c r="D86" i="28"/>
  <c r="G87" i="28" s="1"/>
  <c r="I68" i="20" s="1"/>
  <c r="B96" i="28"/>
  <c r="D96" i="28" s="1"/>
  <c r="B93" i="28"/>
  <c r="F93" i="28" s="1"/>
  <c r="F90" i="28"/>
  <c r="D90" i="28"/>
  <c r="F86" i="28"/>
  <c r="H87" i="28" s="1"/>
  <c r="J68" i="20" s="1"/>
  <c r="F131" i="28"/>
  <c r="D131" i="28"/>
  <c r="B126" i="28"/>
  <c r="F124" i="28"/>
  <c r="D124" i="28"/>
  <c r="B130" i="28"/>
  <c r="B127" i="28"/>
  <c r="F120" i="28"/>
  <c r="D120" i="28"/>
  <c r="G121" i="28" s="1"/>
  <c r="I66" i="20" s="1"/>
  <c r="B95" i="28"/>
  <c r="F92" i="28"/>
  <c r="D92" i="28"/>
  <c r="O118" i="28"/>
  <c r="O119" i="28" s="1"/>
  <c r="O129" i="28"/>
  <c r="L69" i="20" s="1"/>
  <c r="P118" i="28"/>
  <c r="P129" i="28"/>
  <c r="M69" i="20" s="1"/>
  <c r="J26" i="20" s="1"/>
  <c r="N112" i="28"/>
  <c r="P112" i="28" s="1"/>
  <c r="P113" i="28" s="1"/>
  <c r="O95" i="28"/>
  <c r="L67" i="20" s="1"/>
  <c r="O84" i="28"/>
  <c r="O85" i="28" s="1"/>
  <c r="P95" i="28"/>
  <c r="M67" i="20" s="1"/>
  <c r="J24" i="20" s="1"/>
  <c r="P84" i="28"/>
  <c r="N78" i="28"/>
  <c r="P78" i="28" s="1"/>
  <c r="P79" i="28" s="1"/>
  <c r="I57" i="20"/>
  <c r="J57" i="20"/>
  <c r="B68" i="28"/>
  <c r="B70" i="28" s="1"/>
  <c r="H51" i="28"/>
  <c r="F24" i="28"/>
  <c r="D24" i="28"/>
  <c r="D23" i="28"/>
  <c r="B26" i="28"/>
  <c r="F23" i="28"/>
  <c r="K56" i="20"/>
  <c r="D27" i="28"/>
  <c r="F27" i="28"/>
  <c r="B28" i="28"/>
  <c r="H48" i="20"/>
  <c r="O26" i="28"/>
  <c r="O15" i="28"/>
  <c r="N9" i="28"/>
  <c r="P9" i="28" s="1"/>
  <c r="P10" i="28" s="1"/>
  <c r="P26" i="28"/>
  <c r="P56" i="12" l="1"/>
  <c r="L69" i="12"/>
  <c r="L60" i="12"/>
  <c r="L55" i="12"/>
  <c r="L57" i="12"/>
  <c r="P57" i="12" s="1"/>
  <c r="L73" i="12"/>
  <c r="L67" i="12"/>
  <c r="P67" i="12" s="1"/>
  <c r="P54" i="12"/>
  <c r="L59" i="12"/>
  <c r="N54" i="12"/>
  <c r="P71" i="12"/>
  <c r="P102" i="12"/>
  <c r="L103" i="12"/>
  <c r="H29" i="12"/>
  <c r="D27" i="12"/>
  <c r="F27" i="12"/>
  <c r="N102" i="12"/>
  <c r="H32" i="30"/>
  <c r="H24" i="30"/>
  <c r="N104" i="12"/>
  <c r="P104" i="12"/>
  <c r="I17" i="20"/>
  <c r="F96" i="28"/>
  <c r="D93" i="28"/>
  <c r="G91" i="28" s="1"/>
  <c r="G92" i="28" s="1"/>
  <c r="K68" i="20"/>
  <c r="H121" i="28"/>
  <c r="J66" i="20" s="1"/>
  <c r="K66" i="20" s="1"/>
  <c r="D127" i="28"/>
  <c r="F127" i="28"/>
  <c r="B129" i="28"/>
  <c r="F126" i="28"/>
  <c r="D126" i="28"/>
  <c r="D130" i="28"/>
  <c r="F130" i="28"/>
  <c r="D95" i="28"/>
  <c r="F95" i="28"/>
  <c r="P119" i="28"/>
  <c r="J136" i="28"/>
  <c r="J138" i="28" s="1"/>
  <c r="J102" i="28"/>
  <c r="J104" i="28" s="1"/>
  <c r="P85" i="28"/>
  <c r="J58" i="20"/>
  <c r="J59" i="20"/>
  <c r="I58" i="20"/>
  <c r="I59" i="20"/>
  <c r="G22" i="28"/>
  <c r="G23" i="28" s="1"/>
  <c r="K57" i="20"/>
  <c r="D70" i="28"/>
  <c r="B71" i="28"/>
  <c r="D71" i="28" s="1"/>
  <c r="F26" i="28"/>
  <c r="D26" i="28"/>
  <c r="D28" i="28"/>
  <c r="F28" i="28"/>
  <c r="P27" i="28"/>
  <c r="P16" i="28"/>
  <c r="J35" i="28"/>
  <c r="O16" i="28"/>
  <c r="P72" i="12" l="1"/>
  <c r="P73" i="12"/>
  <c r="L62" i="12"/>
  <c r="L65" i="12"/>
  <c r="P55" i="12"/>
  <c r="R56" i="12" s="1"/>
  <c r="J34" i="30" s="1"/>
  <c r="N55" i="12"/>
  <c r="Q56" i="12" s="1"/>
  <c r="I34" i="30" s="1"/>
  <c r="N60" i="12"/>
  <c r="P60" i="12"/>
  <c r="L70" i="12"/>
  <c r="N70" i="12" s="1"/>
  <c r="N69" i="12"/>
  <c r="P69" i="12"/>
  <c r="N59" i="12"/>
  <c r="L61" i="12"/>
  <c r="P59" i="12"/>
  <c r="P103" i="12"/>
  <c r="P86" i="12" s="1"/>
  <c r="R86" i="12" s="1"/>
  <c r="R87" i="12" s="1"/>
  <c r="N103" i="12"/>
  <c r="Q100" i="12" s="1"/>
  <c r="Q101" i="12" s="1"/>
  <c r="R104" i="12"/>
  <c r="M39" i="30" s="1"/>
  <c r="R93" i="12"/>
  <c r="Q104" i="12"/>
  <c r="L39" i="30" s="1"/>
  <c r="Q93" i="12"/>
  <c r="G125" i="28"/>
  <c r="G126" i="28" s="1"/>
  <c r="D129" i="28"/>
  <c r="G129" i="28" s="1"/>
  <c r="L66" i="20" s="1"/>
  <c r="F129" i="28"/>
  <c r="H118" i="28" s="1"/>
  <c r="G118" i="28"/>
  <c r="H95" i="28"/>
  <c r="M68" i="20" s="1"/>
  <c r="J25" i="20" s="1"/>
  <c r="F78" i="28"/>
  <c r="H78" i="28" s="1"/>
  <c r="H79" i="28" s="1"/>
  <c r="H84" i="28"/>
  <c r="G95" i="28"/>
  <c r="G84" i="28"/>
  <c r="J139" i="28"/>
  <c r="L139" i="28" s="1"/>
  <c r="L138" i="28"/>
  <c r="K58" i="20"/>
  <c r="J105" i="28"/>
  <c r="L105" i="28" s="1"/>
  <c r="L104" i="28"/>
  <c r="K59" i="20"/>
  <c r="G15" i="28"/>
  <c r="G16" i="28" s="1"/>
  <c r="H15" i="28"/>
  <c r="B33" i="28" s="1"/>
  <c r="G70" i="28"/>
  <c r="G26" i="28"/>
  <c r="H26" i="28"/>
  <c r="F9" i="28"/>
  <c r="H9" i="28" s="1"/>
  <c r="H10" i="28" s="1"/>
  <c r="J36" i="28"/>
  <c r="L36" i="28" s="1"/>
  <c r="L35" i="28"/>
  <c r="K34" i="30" l="1"/>
  <c r="P65" i="12"/>
  <c r="N65" i="12"/>
  <c r="P61" i="12"/>
  <c r="N61" i="12"/>
  <c r="L64" i="12"/>
  <c r="L63" i="12"/>
  <c r="N62" i="12"/>
  <c r="P62" i="12"/>
  <c r="Q94" i="12"/>
  <c r="R94" i="12"/>
  <c r="L112" i="12"/>
  <c r="L114" i="12" s="1"/>
  <c r="N39" i="30"/>
  <c r="H39" i="30"/>
  <c r="H40" i="30" s="1"/>
  <c r="K39" i="30"/>
  <c r="L55" i="20"/>
  <c r="L56" i="20"/>
  <c r="M55" i="20"/>
  <c r="I22" i="20" s="1"/>
  <c r="M56" i="20"/>
  <c r="I23" i="20" s="1"/>
  <c r="J17" i="20"/>
  <c r="G119" i="28"/>
  <c r="F112" i="28"/>
  <c r="H112" i="28" s="1"/>
  <c r="H113" i="28" s="1"/>
  <c r="H129" i="28"/>
  <c r="M66" i="20" s="1"/>
  <c r="J23" i="20" s="1"/>
  <c r="B136" i="28"/>
  <c r="B138" i="28" s="1"/>
  <c r="H119" i="28"/>
  <c r="L68" i="20"/>
  <c r="H96" i="28"/>
  <c r="B102" i="28"/>
  <c r="B104" i="28" s="1"/>
  <c r="H85" i="28"/>
  <c r="G85" i="28"/>
  <c r="O138" i="28"/>
  <c r="O112" i="28" s="1"/>
  <c r="O104" i="28"/>
  <c r="O105" i="28" s="1"/>
  <c r="G71" i="28"/>
  <c r="G44" i="28"/>
  <c r="B35" i="28"/>
  <c r="H16" i="28"/>
  <c r="H27" i="28"/>
  <c r="O35" i="28"/>
  <c r="N63" i="12" l="1"/>
  <c r="Q60" i="12" s="1"/>
  <c r="Q61" i="12" s="1"/>
  <c r="P63" i="12"/>
  <c r="P64" i="12"/>
  <c r="N64" i="12"/>
  <c r="L115" i="12"/>
  <c r="N115" i="12" s="1"/>
  <c r="N114" i="12"/>
  <c r="I31" i="20"/>
  <c r="K23" i="20"/>
  <c r="K22" i="20"/>
  <c r="I30" i="20"/>
  <c r="H130" i="28"/>
  <c r="B139" i="28"/>
  <c r="D139" i="28" s="1"/>
  <c r="D138" i="28"/>
  <c r="G138" i="28" s="1"/>
  <c r="O78" i="28"/>
  <c r="O79" i="28" s="1"/>
  <c r="O139" i="28"/>
  <c r="B105" i="28"/>
  <c r="D105" i="28" s="1"/>
  <c r="D104" i="28"/>
  <c r="O113" i="28"/>
  <c r="L112" i="28"/>
  <c r="E69" i="20" s="1"/>
  <c r="F26" i="20" s="1"/>
  <c r="N69" i="20"/>
  <c r="N67" i="20"/>
  <c r="N68" i="20"/>
  <c r="M57" i="20"/>
  <c r="I24" i="20" s="1"/>
  <c r="L57" i="20"/>
  <c r="L59" i="20" s="1"/>
  <c r="D44" i="28"/>
  <c r="G45" i="28"/>
  <c r="B36" i="28"/>
  <c r="D36" i="28" s="1"/>
  <c r="D35" i="28"/>
  <c r="N56" i="20"/>
  <c r="O36" i="28"/>
  <c r="O9" i="28"/>
  <c r="L9" i="28" s="1"/>
  <c r="P47" i="12" l="1"/>
  <c r="R47" i="12" s="1"/>
  <c r="R48" i="12" s="1"/>
  <c r="Q64" i="12"/>
  <c r="Q53" i="12"/>
  <c r="R64" i="12"/>
  <c r="R53" i="12"/>
  <c r="Q114" i="12"/>
  <c r="Q115" i="12" s="1"/>
  <c r="K30" i="20"/>
  <c r="K31" i="20"/>
  <c r="I32" i="20"/>
  <c r="K24" i="20"/>
  <c r="L78" i="28"/>
  <c r="E67" i="20" s="1"/>
  <c r="F24" i="20" s="1"/>
  <c r="G139" i="28"/>
  <c r="G112" i="28"/>
  <c r="N66" i="20"/>
  <c r="G104" i="28"/>
  <c r="G105" i="28" s="1"/>
  <c r="M58" i="20"/>
  <c r="I25" i="20" s="1"/>
  <c r="M59" i="20"/>
  <c r="N57" i="20"/>
  <c r="L58" i="20"/>
  <c r="G35" i="28"/>
  <c r="G9" i="28" s="1"/>
  <c r="O10" i="28"/>
  <c r="N55" i="20"/>
  <c r="R54" i="12" l="1"/>
  <c r="L72" i="12"/>
  <c r="L74" i="12" s="1"/>
  <c r="I23" i="32"/>
  <c r="M34" i="30"/>
  <c r="Q54" i="12"/>
  <c r="H23" i="32"/>
  <c r="L34" i="30"/>
  <c r="Q86" i="12"/>
  <c r="Q87" i="12" s="1"/>
  <c r="K32" i="20"/>
  <c r="I33" i="20"/>
  <c r="K25" i="20"/>
  <c r="N59" i="20"/>
  <c r="I26" i="20"/>
  <c r="L26" i="20" s="1"/>
  <c r="G78" i="28"/>
  <c r="D78" i="28" s="1"/>
  <c r="E68" i="20" s="1"/>
  <c r="F25" i="20" s="1"/>
  <c r="G113" i="28"/>
  <c r="D112" i="28"/>
  <c r="E66" i="20" s="1"/>
  <c r="F23" i="20" s="1"/>
  <c r="N58" i="20"/>
  <c r="G36" i="28"/>
  <c r="G10" i="28"/>
  <c r="D9" i="28"/>
  <c r="F29" i="12"/>
  <c r="D29" i="12"/>
  <c r="G16" i="12" s="1"/>
  <c r="J23" i="32" l="1"/>
  <c r="N34" i="30"/>
  <c r="L75" i="12"/>
  <c r="N75" i="12" s="1"/>
  <c r="N74" i="12"/>
  <c r="N86" i="12"/>
  <c r="E39" i="30" s="1"/>
  <c r="N42" i="29" s="1"/>
  <c r="K33" i="20"/>
  <c r="I34" i="20"/>
  <c r="K26" i="20"/>
  <c r="M26" i="20" s="1"/>
  <c r="G79" i="28"/>
  <c r="E55" i="20"/>
  <c r="D22" i="20" s="1"/>
  <c r="E56" i="20"/>
  <c r="H27" i="12"/>
  <c r="H16" i="12"/>
  <c r="F10" i="12"/>
  <c r="H10" i="12" s="1"/>
  <c r="H11" i="12" s="1"/>
  <c r="G17" i="12"/>
  <c r="G27" i="12"/>
  <c r="Q74" i="12" l="1"/>
  <c r="Q75" i="12" s="1"/>
  <c r="Q47" i="12"/>
  <c r="N47" i="12" s="1"/>
  <c r="M23" i="30"/>
  <c r="K15" i="30"/>
  <c r="L23" i="30"/>
  <c r="H28" i="12"/>
  <c r="L15" i="30" s="1"/>
  <c r="M47" i="20"/>
  <c r="L47" i="20"/>
  <c r="K34" i="20"/>
  <c r="M34" i="20" s="1"/>
  <c r="L34" i="20"/>
  <c r="E57" i="20"/>
  <c r="E59" i="20" s="1"/>
  <c r="D26" i="20" s="1"/>
  <c r="E26" i="20" s="1"/>
  <c r="G26" i="20" s="1"/>
  <c r="N26" i="20" s="1"/>
  <c r="D23" i="20"/>
  <c r="D30" i="20"/>
  <c r="E30" i="20" s="1"/>
  <c r="G30" i="20" s="1"/>
  <c r="E22" i="20"/>
  <c r="G22" i="20" s="1"/>
  <c r="H17" i="12"/>
  <c r="B35" i="12"/>
  <c r="B37" i="12" s="1"/>
  <c r="Q48" i="12" l="1"/>
  <c r="N23" i="30"/>
  <c r="K13" i="20"/>
  <c r="K14" i="20"/>
  <c r="N47" i="20"/>
  <c r="L13" i="20" s="1"/>
  <c r="H26" i="20"/>
  <c r="D34" i="20"/>
  <c r="E34" i="20" s="1"/>
  <c r="G34" i="20" s="1"/>
  <c r="N34" i="20" s="1"/>
  <c r="E23" i="20"/>
  <c r="G23" i="20" s="1"/>
  <c r="D31" i="20"/>
  <c r="E31" i="20" s="1"/>
  <c r="G31" i="20" s="1"/>
  <c r="D24" i="20"/>
  <c r="E58" i="20"/>
  <c r="D25" i="20" s="1"/>
  <c r="K17" i="20"/>
  <c r="M17" i="20" s="1"/>
  <c r="B38" i="12"/>
  <c r="D38" i="12" s="1"/>
  <c r="D37" i="12"/>
  <c r="F23" i="32" l="1"/>
  <c r="E34" i="30"/>
  <c r="N11" i="29" s="1"/>
  <c r="L14" i="20"/>
  <c r="L16" i="20" s="1"/>
  <c r="H34" i="20"/>
  <c r="L17" i="20"/>
  <c r="N17" i="20" s="1"/>
  <c r="E24" i="20"/>
  <c r="G24" i="20" s="1"/>
  <c r="D32" i="20"/>
  <c r="E32" i="20" s="1"/>
  <c r="G32" i="20" s="1"/>
  <c r="K15" i="20"/>
  <c r="E25" i="20"/>
  <c r="G25" i="20" s="1"/>
  <c r="D33" i="20"/>
  <c r="E33" i="20" s="1"/>
  <c r="G33" i="20" s="1"/>
  <c r="K16" i="20"/>
  <c r="G37" i="12"/>
  <c r="L15" i="20" l="1"/>
  <c r="G38" i="12"/>
  <c r="G10" i="12"/>
  <c r="G11" i="12" l="1"/>
  <c r="D10" i="12"/>
  <c r="E23" i="30" l="1"/>
  <c r="F15" i="30"/>
  <c r="G15" i="30" s="1"/>
  <c r="E47" i="20"/>
  <c r="F14" i="20" s="1"/>
  <c r="J42" i="29" l="1"/>
  <c r="F13" i="20"/>
  <c r="G13" i="20" s="1"/>
  <c r="G14" i="20" l="1"/>
  <c r="F15" i="20"/>
  <c r="G15" i="20" l="1"/>
  <c r="F16" i="20"/>
  <c r="F17" i="20" s="1"/>
  <c r="G17" i="20" l="1"/>
  <c r="H17" i="20" s="1"/>
  <c r="G16" i="20"/>
  <c r="D17" i="20"/>
  <c r="E17" i="20" s="1"/>
  <c r="B20" i="26"/>
  <c r="F20" i="26" s="1"/>
  <c r="B17" i="26"/>
  <c r="B22" i="26" s="1"/>
  <c r="D22" i="30"/>
  <c r="B34" i="26" l="1"/>
  <c r="E11" i="29"/>
  <c r="D35" i="30"/>
  <c r="D40" i="30"/>
  <c r="B18" i="26"/>
  <c r="F17" i="26"/>
  <c r="B54" i="26"/>
  <c r="F22" i="26"/>
  <c r="B24" i="26"/>
  <c r="D22" i="26"/>
  <c r="D17" i="26"/>
  <c r="K17" i="26"/>
  <c r="B36" i="26"/>
  <c r="C48" i="26"/>
  <c r="B30" i="26"/>
  <c r="F30" i="26" s="1"/>
  <c r="B32" i="26"/>
  <c r="F19" i="26"/>
  <c r="B96" i="26"/>
  <c r="D22" i="32"/>
  <c r="B23" i="26"/>
  <c r="F34" i="26" l="1"/>
  <c r="D34" i="26"/>
  <c r="F35" i="26"/>
  <c r="F36" i="26"/>
  <c r="F18" i="26"/>
  <c r="H19" i="26" s="1"/>
  <c r="J46" i="20" s="1"/>
  <c r="D18" i="26"/>
  <c r="G19" i="26" s="1"/>
  <c r="I46" i="20" s="1"/>
  <c r="B28" i="26"/>
  <c r="B25" i="26"/>
  <c r="B26" i="26" s="1"/>
  <c r="F26" i="26" s="1"/>
  <c r="B55" i="26"/>
  <c r="K18" i="26"/>
  <c r="K30" i="26"/>
  <c r="O30" i="26" s="1"/>
  <c r="K32" i="26"/>
  <c r="K20" i="26"/>
  <c r="O19" i="26"/>
  <c r="K34" i="26"/>
  <c r="K23" i="26"/>
  <c r="K36" i="26"/>
  <c r="F32" i="26"/>
  <c r="D32" i="26"/>
  <c r="B33" i="26"/>
  <c r="D33" i="26" s="1"/>
  <c r="F98" i="26"/>
  <c r="B97" i="26"/>
  <c r="B115" i="26"/>
  <c r="B113" i="26"/>
  <c r="B111" i="26"/>
  <c r="B109" i="26"/>
  <c r="F109" i="26" s="1"/>
  <c r="B102" i="26"/>
  <c r="B99" i="26"/>
  <c r="F99" i="26" s="1"/>
  <c r="B101" i="26"/>
  <c r="F96" i="26"/>
  <c r="D96" i="26"/>
  <c r="K22" i="26"/>
  <c r="O17" i="26"/>
  <c r="K54" i="26"/>
  <c r="M17" i="26"/>
  <c r="F23" i="26"/>
  <c r="D23" i="26"/>
  <c r="B59" i="26"/>
  <c r="F54" i="26"/>
  <c r="D54" i="26"/>
  <c r="K98" i="26"/>
  <c r="K96" i="26"/>
  <c r="D24" i="26"/>
  <c r="B27" i="26"/>
  <c r="F24" i="26"/>
  <c r="K102" i="26" l="1"/>
  <c r="K97" i="26"/>
  <c r="O98" i="26"/>
  <c r="K113" i="26"/>
  <c r="K99" i="26"/>
  <c r="O99" i="26" s="1"/>
  <c r="K115" i="26"/>
  <c r="K111" i="26"/>
  <c r="K109" i="26"/>
  <c r="O109" i="26" s="1"/>
  <c r="B62" i="26"/>
  <c r="B65" i="26"/>
  <c r="D55" i="26"/>
  <c r="G56" i="26" s="1"/>
  <c r="F55" i="26"/>
  <c r="H56" i="26" s="1"/>
  <c r="K28" i="26"/>
  <c r="K55" i="26"/>
  <c r="M18" i="26"/>
  <c r="P19" i="26" s="1"/>
  <c r="K25" i="26"/>
  <c r="K26" i="26" s="1"/>
  <c r="O18" i="26"/>
  <c r="B103" i="26"/>
  <c r="D101" i="26"/>
  <c r="F101" i="26"/>
  <c r="D111" i="26"/>
  <c r="F111" i="26"/>
  <c r="B112" i="26"/>
  <c r="D112" i="26" s="1"/>
  <c r="F114" i="26"/>
  <c r="F115" i="26"/>
  <c r="M23" i="26"/>
  <c r="O23" i="26"/>
  <c r="F25" i="26"/>
  <c r="D25" i="26"/>
  <c r="F27" i="26"/>
  <c r="D27" i="26"/>
  <c r="D26" i="26"/>
  <c r="B104" i="26"/>
  <c r="B107" i="26"/>
  <c r="F97" i="26"/>
  <c r="H98" i="26" s="1"/>
  <c r="D97" i="26"/>
  <c r="D28" i="26"/>
  <c r="B29" i="26"/>
  <c r="F28" i="26"/>
  <c r="K59" i="26"/>
  <c r="O54" i="26"/>
  <c r="M54" i="26"/>
  <c r="O20" i="26"/>
  <c r="L48" i="26"/>
  <c r="J49" i="20"/>
  <c r="J61" i="20"/>
  <c r="K46" i="20"/>
  <c r="O32" i="26"/>
  <c r="M32" i="26"/>
  <c r="K33" i="26"/>
  <c r="M33" i="26" s="1"/>
  <c r="B61" i="26"/>
  <c r="F59" i="26"/>
  <c r="D59" i="26"/>
  <c r="O35" i="26"/>
  <c r="O36" i="26"/>
  <c r="F113" i="26"/>
  <c r="D113" i="26"/>
  <c r="I61" i="20"/>
  <c r="I49" i="20"/>
  <c r="M34" i="26"/>
  <c r="O34" i="26"/>
  <c r="B66" i="26"/>
  <c r="Q19" i="26"/>
  <c r="D102" i="26"/>
  <c r="B105" i="26"/>
  <c r="F102" i="26"/>
  <c r="O96" i="26"/>
  <c r="M96" i="26"/>
  <c r="K101" i="26"/>
  <c r="K24" i="26"/>
  <c r="O22" i="26"/>
  <c r="M22" i="26"/>
  <c r="G23" i="26" l="1"/>
  <c r="G24" i="26" s="1"/>
  <c r="K49" i="20"/>
  <c r="K61" i="20"/>
  <c r="M28" i="26"/>
  <c r="K29" i="26"/>
  <c r="O28" i="26"/>
  <c r="K27" i="26"/>
  <c r="O24" i="26"/>
  <c r="M24" i="26"/>
  <c r="O113" i="26"/>
  <c r="M113" i="26"/>
  <c r="D107" i="26"/>
  <c r="F107" i="26"/>
  <c r="G98" i="26"/>
  <c r="I45" i="20"/>
  <c r="I22" i="30"/>
  <c r="O26" i="26"/>
  <c r="M26" i="26"/>
  <c r="B106" i="26"/>
  <c r="F103" i="26"/>
  <c r="D103" i="26"/>
  <c r="D65" i="26"/>
  <c r="F65" i="26"/>
  <c r="K107" i="26"/>
  <c r="M97" i="26"/>
  <c r="P98" i="26" s="1"/>
  <c r="O97" i="26"/>
  <c r="Q98" i="26" s="1"/>
  <c r="K104" i="26"/>
  <c r="K65" i="26"/>
  <c r="O55" i="26"/>
  <c r="Q56" i="26" s="1"/>
  <c r="M55" i="26"/>
  <c r="P56" i="26" s="1"/>
  <c r="K62" i="26"/>
  <c r="K66" i="26"/>
  <c r="M59" i="26"/>
  <c r="K61" i="26"/>
  <c r="O59" i="26"/>
  <c r="D66" i="26"/>
  <c r="F66" i="26"/>
  <c r="F62" i="26"/>
  <c r="D62" i="26"/>
  <c r="M102" i="26"/>
  <c r="K105" i="26"/>
  <c r="O102" i="26"/>
  <c r="B64" i="26"/>
  <c r="B108" i="26"/>
  <c r="D61" i="26"/>
  <c r="F61" i="26"/>
  <c r="F29" i="26"/>
  <c r="F10" i="26" s="1"/>
  <c r="H10" i="26" s="1"/>
  <c r="H11" i="26" s="1"/>
  <c r="D29" i="26"/>
  <c r="G27" i="26" s="1"/>
  <c r="M25" i="26"/>
  <c r="O25" i="26"/>
  <c r="D105" i="26"/>
  <c r="F105" i="26"/>
  <c r="O115" i="26"/>
  <c r="O114" i="26"/>
  <c r="F104" i="26"/>
  <c r="D104" i="26"/>
  <c r="M101" i="26"/>
  <c r="K103" i="26"/>
  <c r="O101" i="26"/>
  <c r="J22" i="30"/>
  <c r="J45" i="20"/>
  <c r="K112" i="26"/>
  <c r="M112" i="26" s="1"/>
  <c r="M111" i="26"/>
  <c r="O111" i="26"/>
  <c r="G16" i="26" l="1"/>
  <c r="P23" i="26"/>
  <c r="P24" i="26" s="1"/>
  <c r="G60" i="26"/>
  <c r="G61" i="26" s="1"/>
  <c r="G17" i="26"/>
  <c r="G102" i="26"/>
  <c r="G103" i="26" s="1"/>
  <c r="H16" i="26"/>
  <c r="H27" i="26"/>
  <c r="M46" i="20" s="1"/>
  <c r="M49" i="20" s="1"/>
  <c r="M65" i="26"/>
  <c r="O65" i="26"/>
  <c r="O27" i="26"/>
  <c r="M27" i="26"/>
  <c r="L46" i="20"/>
  <c r="O104" i="26"/>
  <c r="M104" i="26"/>
  <c r="D106" i="26"/>
  <c r="F106" i="26"/>
  <c r="J60" i="20"/>
  <c r="J48" i="20"/>
  <c r="K45" i="20"/>
  <c r="M105" i="26"/>
  <c r="O105" i="26"/>
  <c r="M61" i="26"/>
  <c r="K64" i="26"/>
  <c r="O61" i="26"/>
  <c r="M29" i="26"/>
  <c r="O29" i="26"/>
  <c r="D64" i="26"/>
  <c r="F64" i="26"/>
  <c r="F47" i="26" s="1"/>
  <c r="H47" i="26" s="1"/>
  <c r="H48" i="26" s="1"/>
  <c r="J24" i="30"/>
  <c r="J40" i="30"/>
  <c r="J35" i="30"/>
  <c r="K22" i="30"/>
  <c r="M107" i="26"/>
  <c r="O107" i="26"/>
  <c r="K108" i="26"/>
  <c r="I35" i="30"/>
  <c r="I24" i="30"/>
  <c r="I40" i="30"/>
  <c r="O66" i="26"/>
  <c r="M66" i="26"/>
  <c r="M103" i="26"/>
  <c r="O103" i="26"/>
  <c r="K106" i="26"/>
  <c r="D108" i="26"/>
  <c r="F108" i="26"/>
  <c r="O62" i="26"/>
  <c r="M62" i="26"/>
  <c r="I48" i="20"/>
  <c r="I60" i="20"/>
  <c r="H17" i="26" l="1"/>
  <c r="B35" i="26"/>
  <c r="I14" i="20"/>
  <c r="L23" i="20" s="1"/>
  <c r="M61" i="20"/>
  <c r="N46" i="20"/>
  <c r="N61" i="20" s="1"/>
  <c r="B37" i="26"/>
  <c r="P60" i="26"/>
  <c r="P61" i="26" s="1"/>
  <c r="O10" i="26"/>
  <c r="Q10" i="26" s="1"/>
  <c r="Q11" i="26" s="1"/>
  <c r="H28" i="26"/>
  <c r="P102" i="26"/>
  <c r="P103" i="26" s="1"/>
  <c r="H106" i="26"/>
  <c r="F89" i="26"/>
  <c r="H89" i="26" s="1"/>
  <c r="H90" i="26" s="1"/>
  <c r="H95" i="26"/>
  <c r="P27" i="26"/>
  <c r="P16" i="26"/>
  <c r="L31" i="20"/>
  <c r="G106" i="26"/>
  <c r="G95" i="26"/>
  <c r="Q27" i="26"/>
  <c r="Q16" i="26"/>
  <c r="G64" i="26"/>
  <c r="G53" i="26"/>
  <c r="K60" i="20"/>
  <c r="K48" i="20"/>
  <c r="L61" i="20"/>
  <c r="L49" i="20"/>
  <c r="M106" i="26"/>
  <c r="O106" i="26"/>
  <c r="H64" i="26"/>
  <c r="H53" i="26"/>
  <c r="K24" i="30"/>
  <c r="K35" i="30"/>
  <c r="K40" i="30"/>
  <c r="O108" i="26"/>
  <c r="M108" i="26"/>
  <c r="M64" i="26"/>
  <c r="O64" i="26"/>
  <c r="B38" i="26" l="1"/>
  <c r="D38" i="26" s="1"/>
  <c r="G40" i="26"/>
  <c r="I15" i="20"/>
  <c r="M14" i="20"/>
  <c r="I16" i="20"/>
  <c r="M16" i="20" s="1"/>
  <c r="D37" i="26"/>
  <c r="J14" i="20"/>
  <c r="J16" i="20" s="1"/>
  <c r="N49" i="20"/>
  <c r="Q106" i="26"/>
  <c r="I22" i="32" s="1"/>
  <c r="Q95" i="26"/>
  <c r="Q64" i="26"/>
  <c r="Q53" i="26"/>
  <c r="L33" i="20"/>
  <c r="L25" i="20"/>
  <c r="P17" i="26"/>
  <c r="H96" i="26"/>
  <c r="B114" i="26"/>
  <c r="B116" i="26" s="1"/>
  <c r="G96" i="26"/>
  <c r="Q17" i="26"/>
  <c r="K35" i="26"/>
  <c r="K37" i="26" s="1"/>
  <c r="L45" i="20"/>
  <c r="H21" i="32"/>
  <c r="Q28" i="26"/>
  <c r="J15" i="30" s="1"/>
  <c r="N15" i="30" s="1"/>
  <c r="L22" i="30"/>
  <c r="B71" i="26"/>
  <c r="B73" i="26" s="1"/>
  <c r="H54" i="26"/>
  <c r="G54" i="26"/>
  <c r="L32" i="20"/>
  <c r="M15" i="20"/>
  <c r="L24" i="20"/>
  <c r="O89" i="26"/>
  <c r="Q89" i="26" s="1"/>
  <c r="Q90" i="26" s="1"/>
  <c r="P106" i="26"/>
  <c r="P95" i="26"/>
  <c r="M45" i="20"/>
  <c r="M22" i="30"/>
  <c r="I21" i="32"/>
  <c r="I15" i="30"/>
  <c r="M15" i="30" s="1"/>
  <c r="P64" i="26"/>
  <c r="P53" i="26"/>
  <c r="O47" i="26"/>
  <c r="Q47" i="26" s="1"/>
  <c r="Q48" i="26" s="1"/>
  <c r="G37" i="26" l="1"/>
  <c r="G38" i="26" s="1"/>
  <c r="M23" i="20"/>
  <c r="M31" i="20"/>
  <c r="N14" i="20"/>
  <c r="J15" i="20"/>
  <c r="M32" i="20" s="1"/>
  <c r="G10" i="26"/>
  <c r="D10" i="26" s="1"/>
  <c r="J21" i="32"/>
  <c r="M25" i="20"/>
  <c r="M33" i="20"/>
  <c r="N16" i="20"/>
  <c r="L60" i="20"/>
  <c r="L48" i="20"/>
  <c r="P96" i="26"/>
  <c r="K71" i="26"/>
  <c r="K73" i="26" s="1"/>
  <c r="Q54" i="26"/>
  <c r="B117" i="26"/>
  <c r="D117" i="26" s="1"/>
  <c r="D116" i="26"/>
  <c r="M60" i="20"/>
  <c r="M48" i="20"/>
  <c r="N45" i="20"/>
  <c r="I13" i="20"/>
  <c r="Q107" i="26"/>
  <c r="H22" i="32"/>
  <c r="J22" i="32" s="1"/>
  <c r="B74" i="26"/>
  <c r="D74" i="26" s="1"/>
  <c r="D73" i="26"/>
  <c r="K38" i="26"/>
  <c r="M38" i="26" s="1"/>
  <c r="M37" i="26"/>
  <c r="L24" i="30"/>
  <c r="L35" i="30"/>
  <c r="L40" i="30"/>
  <c r="Q96" i="26"/>
  <c r="K114" i="26"/>
  <c r="K116" i="26" s="1"/>
  <c r="M24" i="30"/>
  <c r="M35" i="30"/>
  <c r="P11" i="29" s="1"/>
  <c r="N22" i="30"/>
  <c r="M40" i="30"/>
  <c r="P42" i="29" s="1"/>
  <c r="P54" i="26"/>
  <c r="G11" i="26" l="1"/>
  <c r="N15" i="20"/>
  <c r="M24" i="20"/>
  <c r="G73" i="26"/>
  <c r="G74" i="26" s="1"/>
  <c r="P37" i="26"/>
  <c r="P10" i="26" s="1"/>
  <c r="M10" i="26" s="1"/>
  <c r="F21" i="32" s="1"/>
  <c r="G116" i="26"/>
  <c r="E22" i="30"/>
  <c r="E46" i="20"/>
  <c r="M73" i="26"/>
  <c r="K74" i="26"/>
  <c r="M74" i="26" s="1"/>
  <c r="K117" i="26"/>
  <c r="M117" i="26" s="1"/>
  <c r="M116" i="26"/>
  <c r="N40" i="30"/>
  <c r="N35" i="30"/>
  <c r="N24" i="30"/>
  <c r="M13" i="20"/>
  <c r="L30" i="20"/>
  <c r="L22" i="20"/>
  <c r="J13" i="20"/>
  <c r="N60" i="20"/>
  <c r="N48" i="20"/>
  <c r="G47" i="26" l="1"/>
  <c r="P38" i="26"/>
  <c r="G117" i="26"/>
  <c r="G89" i="26"/>
  <c r="G90" i="26" s="1"/>
  <c r="P73" i="26"/>
  <c r="P11" i="26"/>
  <c r="E61" i="20"/>
  <c r="E49" i="20"/>
  <c r="D15" i="20"/>
  <c r="E15" i="20" s="1"/>
  <c r="D14" i="20"/>
  <c r="E14" i="20" s="1"/>
  <c r="D16" i="20"/>
  <c r="E16" i="20" s="1"/>
  <c r="N13" i="20"/>
  <c r="M22" i="20"/>
  <c r="M30" i="20"/>
  <c r="G48" i="26"/>
  <c r="D47" i="26"/>
  <c r="P116" i="26"/>
  <c r="F11" i="29"/>
  <c r="E40" i="30"/>
  <c r="E41" i="30" s="1"/>
  <c r="F41" i="30" s="1"/>
  <c r="E24" i="30"/>
  <c r="E35" i="30"/>
  <c r="E36" i="30" s="1"/>
  <c r="F36" i="30" s="1"/>
  <c r="D89" i="26" l="1"/>
  <c r="D90" i="26"/>
  <c r="P117" i="26"/>
  <c r="P89" i="26"/>
  <c r="E45" i="20"/>
  <c r="D15" i="30"/>
  <c r="E15" i="30" s="1"/>
  <c r="H15" i="30" s="1"/>
  <c r="N25" i="20"/>
  <c r="H25" i="20"/>
  <c r="H16" i="20"/>
  <c r="H33" i="20"/>
  <c r="N33" i="20"/>
  <c r="N24" i="20"/>
  <c r="H32" i="20"/>
  <c r="H24" i="20"/>
  <c r="N32" i="20"/>
  <c r="H15" i="20"/>
  <c r="N31" i="20"/>
  <c r="N23" i="20"/>
  <c r="H31" i="20"/>
  <c r="H23" i="20"/>
  <c r="H14" i="20"/>
  <c r="P74" i="26"/>
  <c r="P47" i="26"/>
  <c r="M89" i="26" l="1"/>
  <c r="F22" i="32" s="1"/>
  <c r="M90" i="26"/>
  <c r="E60" i="20"/>
  <c r="E48" i="20"/>
  <c r="D13" i="20"/>
  <c r="E13" i="20" s="1"/>
  <c r="P90" i="26"/>
  <c r="P48" i="26"/>
  <c r="M47" i="26"/>
  <c r="H13" i="20" l="1"/>
  <c r="H22" i="20"/>
  <c r="N22" i="20"/>
  <c r="N30" i="20"/>
  <c r="H30" i="20"/>
  <c r="C47" i="12" l="1"/>
  <c r="B54" i="12" l="1"/>
  <c r="B56" i="12"/>
  <c r="D31" i="30"/>
  <c r="I11" i="29" s="1"/>
  <c r="F54" i="12"/>
  <c r="D54" i="12"/>
  <c r="B59" i="12"/>
  <c r="D32" i="30" l="1"/>
  <c r="B55" i="12"/>
  <c r="B66" i="12" s="1"/>
  <c r="B60" i="12"/>
  <c r="F56" i="12"/>
  <c r="B71" i="12"/>
  <c r="B57" i="12"/>
  <c r="F57" i="12" s="1"/>
  <c r="B73" i="12"/>
  <c r="B69" i="12"/>
  <c r="B67" i="12"/>
  <c r="F67" i="12" s="1"/>
  <c r="D59" i="12"/>
  <c r="B61" i="12"/>
  <c r="F59" i="12"/>
  <c r="D71" i="12" l="1"/>
  <c r="F71" i="12"/>
  <c r="D69" i="12"/>
  <c r="B70" i="12"/>
  <c r="D70" i="12" s="1"/>
  <c r="F69" i="12"/>
  <c r="F73" i="12"/>
  <c r="F72" i="12"/>
  <c r="B64" i="12"/>
  <c r="F61" i="12"/>
  <c r="D61" i="12"/>
  <c r="B63" i="12"/>
  <c r="F60" i="12"/>
  <c r="D60" i="12"/>
  <c r="D66" i="12"/>
  <c r="F66" i="12"/>
  <c r="D55" i="12"/>
  <c r="B65" i="12"/>
  <c r="F55" i="12"/>
  <c r="B62" i="12"/>
  <c r="F62" i="12" l="1"/>
  <c r="D62" i="12"/>
  <c r="D64" i="12"/>
  <c r="G53" i="12" s="1"/>
  <c r="F64" i="12"/>
  <c r="H64" i="12" s="1"/>
  <c r="M31" i="30" s="1"/>
  <c r="F63" i="12"/>
  <c r="F47" i="12" s="1"/>
  <c r="H47" i="12" s="1"/>
  <c r="H48" i="12" s="1"/>
  <c r="D63" i="12"/>
  <c r="H53" i="12"/>
  <c r="H56" i="12"/>
  <c r="J31" i="30" s="1"/>
  <c r="F65" i="12"/>
  <c r="D65" i="12"/>
  <c r="G56" i="12"/>
  <c r="I31" i="30" s="1"/>
  <c r="I32" i="30" s="1"/>
  <c r="G60" i="12" l="1"/>
  <c r="G61" i="12" s="1"/>
  <c r="H54" i="12"/>
  <c r="B72" i="12"/>
  <c r="B74" i="12" s="1"/>
  <c r="G54" i="12"/>
  <c r="G64" i="12"/>
  <c r="L31" i="30" s="1"/>
  <c r="L32" i="30" s="1"/>
  <c r="M32" i="30"/>
  <c r="K31" i="30"/>
  <c r="K32" i="30" s="1"/>
  <c r="J32" i="30"/>
  <c r="D74" i="12" l="1"/>
  <c r="B75" i="12"/>
  <c r="D75" i="12" s="1"/>
  <c r="N31" i="30"/>
  <c r="N32" i="30" s="1"/>
  <c r="G74" i="12" l="1"/>
  <c r="G75" i="12" l="1"/>
  <c r="G47" i="12"/>
  <c r="D47" i="12" l="1"/>
  <c r="E31" i="30" s="1"/>
  <c r="G48" i="12"/>
  <c r="J11" i="29" l="1"/>
  <c r="E3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Geraldine BRUNSTEIN</author>
  </authors>
  <commentList>
    <comment ref="G12" authorId="0" shapeId="0" xr:uid="{E58A6365-4B8A-4786-B5F5-D063E5FEA542}">
      <text>
        <r>
          <rPr>
            <b/>
            <sz val="9"/>
            <color indexed="81"/>
            <rFont val="Tahoma"/>
            <family val="2"/>
          </rPr>
          <t>Geraldine BRUNSTEIN:</t>
        </r>
        <r>
          <rPr>
            <sz val="9"/>
            <color indexed="81"/>
            <rFont val="Tahoma"/>
            <family val="2"/>
          </rPr>
          <t xml:space="preserve">
</t>
        </r>
        <r>
          <rPr>
            <sz val="14"/>
            <color indexed="81"/>
            <rFont val="Tahoma"/>
            <family val="2"/>
          </rPr>
          <t>Salaire de base sur le dernier Bulletin de Paie
Plus d'ínformation sur le sheet Aide</t>
        </r>
      </text>
    </comment>
    <comment ref="D13" authorId="0" shapeId="0" xr:uid="{0854F6E1-A0E9-4104-8A9D-DDC98002159D}">
      <text>
        <r>
          <rPr>
            <b/>
            <sz val="9"/>
            <color indexed="81"/>
            <rFont val="Tahoma"/>
            <family val="2"/>
          </rPr>
          <t>Geraldine BRUNSTEIN:</t>
        </r>
        <r>
          <rPr>
            <sz val="9"/>
            <color indexed="81"/>
            <rFont val="Tahoma"/>
            <family val="2"/>
          </rPr>
          <t xml:space="preserve">
</t>
        </r>
        <r>
          <rPr>
            <sz val="14"/>
            <color indexed="81"/>
            <rFont val="Tahoma"/>
            <family val="2"/>
          </rPr>
          <t>Véhicule personnel= Moto / Auto thermique et électrique
Autre = Transport en commun, abonnement velib etc...</t>
        </r>
      </text>
    </comment>
    <comment ref="G13" authorId="0" shapeId="0" xr:uid="{4822073E-F84A-42C5-B9E8-A356E24A4A86}">
      <text>
        <r>
          <rPr>
            <b/>
            <sz val="9"/>
            <color indexed="81"/>
            <rFont val="Tahoma"/>
            <family val="2"/>
          </rPr>
          <t>Geraldine BRUNSTEIN:</t>
        </r>
        <r>
          <rPr>
            <sz val="9"/>
            <color indexed="81"/>
            <rFont val="Tahoma"/>
            <family val="2"/>
          </rPr>
          <t xml:space="preserve">
</t>
        </r>
        <r>
          <rPr>
            <sz val="14"/>
            <color indexed="81"/>
            <rFont val="Tahoma"/>
            <family val="2"/>
          </rPr>
          <t>Prime de transport sur le dernier Bulletin de Paie
Plus d'ínformation  sur le sheet Aide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Geraldine BRUNSTEIN</author>
  </authors>
  <commentList>
    <comment ref="A8" authorId="0" shapeId="0" xr:uid="{1E24E28F-12CF-449D-BAC9-5365791741A0}">
      <text>
        <r>
          <rPr>
            <b/>
            <sz val="9"/>
            <color indexed="81"/>
            <rFont val="Tahoma"/>
            <family val="2"/>
          </rPr>
          <t>Geraldine BRUNSTEIN:</t>
        </r>
        <r>
          <rPr>
            <sz val="9"/>
            <color indexed="81"/>
            <rFont val="Tahoma"/>
            <family val="2"/>
          </rPr>
          <t xml:space="preserve">
Salaire de base sur le dernière Bulletin de Paie
Plus d'ínformation  sur le sheet Help</t>
        </r>
      </text>
    </comment>
    <comment ref="E8" authorId="0" shapeId="0" xr:uid="{01A5B463-34CF-4DAC-8424-E61268DB7D43}">
      <text>
        <r>
          <rPr>
            <b/>
            <sz val="9"/>
            <color indexed="81"/>
            <rFont val="Tahoma"/>
            <family val="2"/>
          </rPr>
          <t xml:space="preserve">Geraldine BRUNSTEIN:
</t>
        </r>
        <r>
          <rPr>
            <sz val="9"/>
            <color indexed="81"/>
            <rFont val="Tahoma"/>
            <family val="2"/>
          </rPr>
          <t>Salaire de base des 12 derniers mois. Trois façons pour le trouver:
1. Sur la dernière Bulletin de Paie: salaire de base * 12
2. 12 dernières Bulletin de Paie: addition des salaires de base
3. Sur Total Reward Package de 2021 compensation
Plus d'ínformation  sur le sheet Help</t>
        </r>
      </text>
    </comment>
    <comment ref="H22" authorId="0" shapeId="0" xr:uid="{77B80091-63FB-4057-985C-74D48E214FDE}">
      <text>
        <r>
          <rPr>
            <b/>
            <sz val="9"/>
            <color indexed="81"/>
            <rFont val="Tahoma"/>
            <family val="2"/>
          </rPr>
          <t>Geraldine BRUNSTEIN:</t>
        </r>
        <r>
          <rPr>
            <sz val="9"/>
            <color indexed="81"/>
            <rFont val="Tahoma"/>
            <family val="2"/>
          </rPr>
          <t xml:space="preserve">
PRIX Célibataire  =Avec enfants et sans conjoint</t>
        </r>
      </text>
    </comment>
    <comment ref="H23" authorId="0" shapeId="0" xr:uid="{338D4492-94E9-405E-99B0-792B4341E975}">
      <text>
        <r>
          <rPr>
            <b/>
            <sz val="9"/>
            <color indexed="81"/>
            <rFont val="Tahoma"/>
            <family val="2"/>
          </rPr>
          <t>Geraldine BRUNSTEIN:</t>
        </r>
        <r>
          <rPr>
            <sz val="9"/>
            <color indexed="81"/>
            <rFont val="Tahoma"/>
            <family val="2"/>
          </rPr>
          <t xml:space="preserve">
PRIX pour la famille: Avec enfants et Conjoint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Geraldine BRUNSTEIN</author>
  </authors>
  <commentList>
    <comment ref="A6" authorId="0" shapeId="0" xr:uid="{E6EE65A5-BC0B-4366-9F88-22273AA028D6}">
      <text>
        <r>
          <rPr>
            <b/>
            <sz val="9"/>
            <color indexed="81"/>
            <rFont val="Tahoma"/>
            <family val="2"/>
          </rPr>
          <t>Geraldine BRUNSTEIN:</t>
        </r>
        <r>
          <rPr>
            <sz val="9"/>
            <color indexed="81"/>
            <rFont val="Tahoma"/>
            <family val="2"/>
          </rPr>
          <t xml:space="preserve">
Salaire de base sur le dernière Bulletin de Paie
Plus d'ínformation  sur le sheet Help</t>
        </r>
      </text>
    </comment>
    <comment ref="E6" authorId="0" shapeId="0" xr:uid="{08452B5E-56E0-432E-8DE3-B4945D901305}">
      <text>
        <r>
          <rPr>
            <b/>
            <sz val="9"/>
            <color indexed="81"/>
            <rFont val="Tahoma"/>
            <family val="2"/>
          </rPr>
          <t xml:space="preserve">Geraldine BRUNSTEIN:
</t>
        </r>
        <r>
          <rPr>
            <sz val="9"/>
            <color indexed="81"/>
            <rFont val="Tahoma"/>
            <family val="2"/>
          </rPr>
          <t>Salaire de base des 12 derniers mois. Trois façons pour le trouver:
1. Sur la dernière Bulletin de Paie: salaire de base * 12
2. 12 dernières Bulletin de Paie: addition des salaires de base
3. Sur Total Reward Package de 2021 compensation
Plus d'ínformation  sur le sheet Help</t>
        </r>
      </text>
    </comment>
    <comment ref="H45" authorId="0" shapeId="0" xr:uid="{F071F49E-A2C4-400B-A445-5DFDE6A0F37B}">
      <text>
        <r>
          <rPr>
            <b/>
            <sz val="9"/>
            <color indexed="81"/>
            <rFont val="Tahoma"/>
            <family val="2"/>
          </rPr>
          <t>Geraldine BRUNSTEIN:</t>
        </r>
        <r>
          <rPr>
            <sz val="9"/>
            <color indexed="81"/>
            <rFont val="Tahoma"/>
            <family val="2"/>
          </rPr>
          <t xml:space="preserve">
PRIX Célibataire  =Avec enfants et sans conjoint</t>
        </r>
      </text>
    </comment>
    <comment ref="H47" authorId="0" shapeId="0" xr:uid="{3D104BCE-00F4-40EF-B142-8FBE7AE46732}">
      <text>
        <r>
          <rPr>
            <b/>
            <sz val="9"/>
            <color indexed="81"/>
            <rFont val="Tahoma"/>
            <family val="2"/>
          </rPr>
          <t>Geraldine BRUNSTEIN:</t>
        </r>
        <r>
          <rPr>
            <sz val="9"/>
            <color indexed="81"/>
            <rFont val="Tahoma"/>
            <family val="2"/>
          </rPr>
          <t xml:space="preserve">
PRIX pour la famille: Avec enfants et Conjoint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<sst xmlns="http://schemas.openxmlformats.org/spreadsheetml/2006/main" count="1408" uniqueCount="331">
  <si>
    <t>C'est un simulateur pour la fusion d'Amadeus France sas et Amadeus sas</t>
  </si>
  <si>
    <t>Merci, de mettre vous information dans toutes</t>
  </si>
  <si>
    <t>Celulle JAUNE</t>
  </si>
  <si>
    <t>AIDE FR</t>
  </si>
  <si>
    <t>F3C Côte d'Azur</t>
  </si>
  <si>
    <t xml:space="preserve">Collège </t>
  </si>
  <si>
    <t>ETAM</t>
  </si>
  <si>
    <t>Modalité</t>
  </si>
  <si>
    <t>ARTT 2</t>
  </si>
  <si>
    <t xml:space="preserve">Site </t>
  </si>
  <si>
    <t>Strasbourg</t>
  </si>
  <si>
    <t>Salaire mensuel de base (Brut)</t>
  </si>
  <si>
    <t>Salaire annuel de base (Brut)</t>
  </si>
  <si>
    <t>Prime en particiapation</t>
  </si>
  <si>
    <t>Collège</t>
  </si>
  <si>
    <t>Site</t>
  </si>
  <si>
    <t>Paris</t>
  </si>
  <si>
    <t>ARTT 1</t>
  </si>
  <si>
    <t>Amadeus France sas</t>
  </si>
  <si>
    <t>Actuellement</t>
  </si>
  <si>
    <t>Sans accord Fusion</t>
  </si>
  <si>
    <t>Diff %</t>
  </si>
  <si>
    <t>Actuel. Art 83</t>
  </si>
  <si>
    <t>Diff Art 83 %</t>
  </si>
  <si>
    <t>CADRE</t>
  </si>
  <si>
    <t>mensuelle</t>
  </si>
  <si>
    <t>annuelle</t>
  </si>
  <si>
    <t>Patronale</t>
  </si>
  <si>
    <t>Epargne</t>
  </si>
  <si>
    <t>ARTT 3</t>
  </si>
  <si>
    <t>Neutre</t>
  </si>
  <si>
    <t>Rémunération Actuelle</t>
  </si>
  <si>
    <t>Salaire mensuel</t>
  </si>
  <si>
    <t>Mutuelle</t>
  </si>
  <si>
    <t>Prevoyance</t>
  </si>
  <si>
    <t>Art 83</t>
  </si>
  <si>
    <t>BRUT</t>
  </si>
  <si>
    <t>NET</t>
  </si>
  <si>
    <t>Salariale</t>
  </si>
  <si>
    <t>Total</t>
  </si>
  <si>
    <t>Amadeus sas</t>
  </si>
  <si>
    <t>Difference</t>
  </si>
  <si>
    <t>Après accord de fusion</t>
  </si>
  <si>
    <t>Appliqué</t>
  </si>
  <si>
    <t>Neutralisé</t>
  </si>
  <si>
    <t>Compensation Temps de Travail (basé sur les modalités)</t>
  </si>
  <si>
    <t>1 er Aout 2022</t>
  </si>
  <si>
    <t>1 er Octobre 2022</t>
  </si>
  <si>
    <t>Difference - Art 83</t>
  </si>
  <si>
    <t>Contreproposition ELUS sur compensation sur le Net !</t>
  </si>
  <si>
    <t>Plafond hors Charges</t>
  </si>
  <si>
    <t>Tranche A</t>
  </si>
  <si>
    <t>Tranche B</t>
  </si>
  <si>
    <t>CSG</t>
  </si>
  <si>
    <t>Secu Alsace</t>
  </si>
  <si>
    <t>Bulletin de Paie - Amadeus France</t>
  </si>
  <si>
    <t>Temps complet</t>
  </si>
  <si>
    <t>1A - 100% de travail</t>
  </si>
  <si>
    <t>Cout 1A</t>
  </si>
  <si>
    <t>Total Charges</t>
  </si>
  <si>
    <t>Base</t>
  </si>
  <si>
    <t>Brut</t>
  </si>
  <si>
    <t>Net</t>
  </si>
  <si>
    <t>Charge Patronal</t>
  </si>
  <si>
    <t>Salaire de Base</t>
  </si>
  <si>
    <t>AN Complementaire</t>
  </si>
  <si>
    <t>Syntec</t>
  </si>
  <si>
    <t>Santé</t>
  </si>
  <si>
    <t>Mut. Prev. Art 83</t>
  </si>
  <si>
    <t>Mutuelle surcomplementaire</t>
  </si>
  <si>
    <t>Prévoyance TA</t>
  </si>
  <si>
    <t>Prévoyance TB</t>
  </si>
  <si>
    <t>SS - Maladie + Deces</t>
  </si>
  <si>
    <t>Accident Travail</t>
  </si>
  <si>
    <t>Retraite</t>
  </si>
  <si>
    <t>Charge Légale</t>
  </si>
  <si>
    <t>CARSAT - SS Plafonnée</t>
  </si>
  <si>
    <t>CARSAT - SS Deplafonnée</t>
  </si>
  <si>
    <t>ARGIC - Compl. Tranche A</t>
  </si>
  <si>
    <t>ARCOO - Compl. Tranche B</t>
  </si>
  <si>
    <t>??Contrib. Ecept. Et Temp.</t>
  </si>
  <si>
    <t>Art 83 - Suppl. Tranche A</t>
  </si>
  <si>
    <t>Art 83 - Suppl. Tranche B</t>
  </si>
  <si>
    <t>Art 83 - Suppl. Tranche C</t>
  </si>
  <si>
    <t>Famille SS - Assu.</t>
  </si>
  <si>
    <t>Assurance Chômage</t>
  </si>
  <si>
    <t>APEC</t>
  </si>
  <si>
    <t>Sécu Alsace</t>
  </si>
  <si>
    <t>Chomage</t>
  </si>
  <si>
    <t>Autres Contibutions dues par Employeur</t>
  </si>
  <si>
    <t>Charge CSG</t>
  </si>
  <si>
    <t>Autres Déduction Employé</t>
  </si>
  <si>
    <t>CSG déduction</t>
  </si>
  <si>
    <t>CSG/CRDS</t>
  </si>
  <si>
    <t>Avant impot</t>
  </si>
  <si>
    <t>Prime de vacances</t>
  </si>
  <si>
    <t>Bonus ou Prime - Amadeus France</t>
  </si>
  <si>
    <t>Art. 83</t>
  </si>
  <si>
    <t>PEE Abonnement</t>
  </si>
  <si>
    <t>Amadeus prend en charge CSG CRDS des abonnements</t>
  </si>
  <si>
    <t>Bulletin de Paie - Amadeus sas</t>
  </si>
  <si>
    <t>ETAM et CADRE</t>
  </si>
  <si>
    <t>Etam</t>
  </si>
  <si>
    <t>ARTT 1 &amp; 3</t>
  </si>
  <si>
    <t xml:space="preserve">Cadre </t>
  </si>
  <si>
    <t>Paris &amp; Strasbourg</t>
  </si>
  <si>
    <t>1er Aout Amadeus sas</t>
  </si>
  <si>
    <t>1er Oct  Amadeus sas</t>
  </si>
  <si>
    <t>Simulateur</t>
  </si>
  <si>
    <t>Actuelle</t>
  </si>
  <si>
    <t>1er Aout 2022</t>
  </si>
  <si>
    <t>1er Oct 2022</t>
  </si>
  <si>
    <t>Status</t>
  </si>
  <si>
    <t>Nbr RTT</t>
  </si>
  <si>
    <t>Aug</t>
  </si>
  <si>
    <t>Diff. net Acc.</t>
  </si>
  <si>
    <t>Diff. Acc.</t>
  </si>
  <si>
    <t>Perte</t>
  </si>
  <si>
    <t>Diff</t>
  </si>
  <si>
    <t>Modalité 1</t>
  </si>
  <si>
    <t>Cadre</t>
  </si>
  <si>
    <t>Modalité 2</t>
  </si>
  <si>
    <t>Modalité 3</t>
  </si>
  <si>
    <t>ARTT1</t>
  </si>
  <si>
    <t>ARTT2</t>
  </si>
  <si>
    <t>ARTT3</t>
  </si>
  <si>
    <t>Sans accord</t>
  </si>
  <si>
    <t>ContrePropo Elu</t>
  </si>
  <si>
    <t>Diff. Sans acc.</t>
  </si>
  <si>
    <t>Aug.</t>
  </si>
  <si>
    <t>Diff. Elus</t>
  </si>
  <si>
    <t>Bonus ou Prime indiv (Brut)</t>
  </si>
  <si>
    <t>Base annuel max ETAM (brut)</t>
  </si>
  <si>
    <t>Rémunération NET (Salaire de base + Prime)</t>
  </si>
  <si>
    <t>0 RTTs</t>
  </si>
  <si>
    <t>18 RTTs</t>
  </si>
  <si>
    <t>20 RTTs</t>
  </si>
  <si>
    <t>12 RTTs</t>
  </si>
  <si>
    <t>Accord fusion N &amp; N+1</t>
  </si>
  <si>
    <t>Acc. Fusion N &amp; N+1 - Art 83</t>
  </si>
  <si>
    <t>Prime</t>
  </si>
  <si>
    <t>Pat. Prime</t>
  </si>
  <si>
    <t>avec Art 83</t>
  </si>
  <si>
    <t>Accord fusion N+3</t>
  </si>
  <si>
    <t>Acc. Fusion N+3 - Art 83</t>
  </si>
  <si>
    <t>DETAILs</t>
  </si>
  <si>
    <t>Mutuelle, Prévoyance et Art 83</t>
  </si>
  <si>
    <t>Amadeus France sas - ETAM</t>
  </si>
  <si>
    <t>Amadeus France sas - CADRE</t>
  </si>
  <si>
    <t>Amadeus sas - ETAM &amp; CADRE</t>
  </si>
  <si>
    <t>Difference - ETAM</t>
  </si>
  <si>
    <t>Difference - CADRE</t>
  </si>
  <si>
    <t>Compensation Temps de Travail</t>
  </si>
  <si>
    <t>&lt;</t>
  </si>
  <si>
    <t>&gt;=</t>
  </si>
  <si>
    <t>ARTT 1
Pointeuse</t>
  </si>
  <si>
    <t>N/A</t>
  </si>
  <si>
    <t>Le simulateur ne prend pas en compte les astreintes, indemnite CP des 12 derniers mois et cela peut avoir une influence sur le resultat. Contactez votre representant PC BP, pour faire une simulation plus fine</t>
  </si>
  <si>
    <t>Retour au simulateur</t>
  </si>
  <si>
    <t>Comment trouver mon salaire de base annuel?</t>
  </si>
  <si>
    <t>Salaire de base brut annuel</t>
  </si>
  <si>
    <t>cas 1</t>
  </si>
  <si>
    <t>En se basant sur votre revenu 2019</t>
  </si>
  <si>
    <t>Aller sur le site: total reward package</t>
  </si>
  <si>
    <t>Cliquer sur "Vos reward, Votre rénumeration"</t>
  </si>
  <si>
    <t>Copier votre salaire de base dans la cellule "Annual Base Salary"</t>
  </si>
  <si>
    <t>cas 2</t>
  </si>
  <si>
    <t>En se basant sur le dernier salaire travaillé, hors temps partiel bonifié (Covid-19)</t>
  </si>
  <si>
    <t>Aller sur digipost</t>
  </si>
  <si>
    <t>Ouvrir votre dernier bulletin de Paie</t>
  </si>
  <si>
    <t>login: votre Amadeus email</t>
  </si>
  <si>
    <t>Multiplier par 12 le montant de salaire de base (1ère ligne du bulletin)</t>
  </si>
  <si>
    <t>Reporter le montant dans la cellule "Annual Base Salary"</t>
  </si>
  <si>
    <t>cas 3</t>
  </si>
  <si>
    <t>En reconstiutant votre revenu sur les 12 derniers mois, hors temps partiel bonifié (Covid-19)</t>
  </si>
  <si>
    <t>Ouvrir vos 12 derniers bulletins de Paie</t>
  </si>
  <si>
    <t>Faire l'addition des 12 montants du salaire de base (1ère ligne du bulletin)</t>
  </si>
  <si>
    <t>Comment trouver votre bonus individuel 2020?</t>
  </si>
  <si>
    <t>Bonus indiv.brut 2020</t>
  </si>
  <si>
    <t>Cliquer sur "Compensation 2020" (en haut à droite)</t>
  </si>
  <si>
    <t>Copier votre Bonus individuel brut de dans la cellule "Gross Indiv. Bonus 2020"</t>
  </si>
  <si>
    <t>**</t>
  </si>
  <si>
    <t>Comment trouver votre date d'entrée?</t>
  </si>
  <si>
    <t xml:space="preserve">Date  d'entée </t>
  </si>
  <si>
    <t>Aller sur  my portal</t>
  </si>
  <si>
    <t xml:space="preserve">Aller sur la partie "Employee Information",  Basic Data </t>
  </si>
  <si>
    <t>Cliquer sur "My Talent Profile"</t>
  </si>
  <si>
    <t xml:space="preserve">Copier la "Hire Date" dans la cellule "Your Hire date" </t>
  </si>
  <si>
    <t>Attention: Cette date peut varier, si vous avez eu des suspensions de contrat comme un congé sabbatique ou parental à 100% non travaillé</t>
  </si>
  <si>
    <t>The simulator does not take into account the periodic penalty payments, CP indemnity of the last 12 months and this can have an influence on the result. Contact your PC BP representative, to do a more detailed simulation</t>
  </si>
  <si>
    <t>Back to simulator</t>
  </si>
  <si>
    <t>How find my Salary Base?</t>
  </si>
  <si>
    <t>Base to compensation  2019</t>
  </si>
  <si>
    <t>Go to your total reward package</t>
  </si>
  <si>
    <t>Click to  'Your reward, Your compensation'</t>
  </si>
  <si>
    <t>Copy your base salary in 'Annual Gross Base Salary' cell</t>
  </si>
  <si>
    <t>Based on the last salary worked, excluding enhanced part-time work (Covid-19)</t>
  </si>
  <si>
    <t>Go to your digipost</t>
  </si>
  <si>
    <t>Open your last 'bulletin de Paie'</t>
  </si>
  <si>
    <t>login: your email Amadeus</t>
  </si>
  <si>
    <t>Multiply the base salary amount by 12 (1st line of your 'Bulletin de paie')</t>
  </si>
  <si>
    <t>Put the amount in 'Annual Gross Base Salary' cell</t>
  </si>
  <si>
    <t>By reconstituting your income over the last 12 months excluding enhanced part-time work (Covid-19)</t>
  </si>
  <si>
    <t>Open your 12 last 'bulletins de Paie'</t>
  </si>
  <si>
    <t>Add up the 12 basic salary amount (1st line of your 'Bulletin de paie')</t>
  </si>
  <si>
    <t>Report the amount in the 'Annual Base Salary' cell</t>
  </si>
  <si>
    <t>How find your Gross Individual Bonus 2020?</t>
  </si>
  <si>
    <t>Click in "Compensation 2020" (on top right)</t>
  </si>
  <si>
    <t>Copy your gross individual bonus in 'Gross Indiv. Bonus 2020' cell</t>
  </si>
  <si>
    <t>How find my Hire Date?</t>
  </si>
  <si>
    <t>Go to my portal</t>
  </si>
  <si>
    <t xml:space="preserve">Go to the part "Employee Information",  Basic Data </t>
  </si>
  <si>
    <t>Click on "My Talent Profile"</t>
  </si>
  <si>
    <t>Copy your 'Hire Date' in 'Your Hire date' cell</t>
  </si>
  <si>
    <t>Warning: This date may vary, if you have had contract suspensions such as a sabbatical or parental leave that is 100% not worked</t>
  </si>
  <si>
    <t>Salaire de base &lt;</t>
  </si>
  <si>
    <t>CADRE ou ETAM</t>
  </si>
  <si>
    <t xml:space="preserve">Bulletin de Paie </t>
  </si>
  <si>
    <t>Augmentation</t>
  </si>
  <si>
    <t>Salaire de base &gt;=</t>
  </si>
  <si>
    <t xml:space="preserve">Prime </t>
  </si>
  <si>
    <t>ARTT2 20 RTTs</t>
  </si>
  <si>
    <t>ARTT2 18 RTTs</t>
  </si>
  <si>
    <t>Annuel</t>
  </si>
  <si>
    <t>ARTT1 0 RTTs</t>
  </si>
  <si>
    <t>Allocation</t>
  </si>
  <si>
    <t xml:space="preserve">Salaire </t>
  </si>
  <si>
    <t>Base / Plafond</t>
  </si>
  <si>
    <t>Normal</t>
  </si>
  <si>
    <t>Mobilité</t>
  </si>
  <si>
    <t>Pre-retraite</t>
  </si>
  <si>
    <t>Sante</t>
  </si>
  <si>
    <t>Compl. Incap. Deces TA</t>
  </si>
  <si>
    <t>Compl. Incap. Deces TB</t>
  </si>
  <si>
    <t>Sante Tranche A</t>
  </si>
  <si>
    <t>CARSAT - SS Plafonne</t>
  </si>
  <si>
    <t>CARSAT - SS Deplafonnee</t>
  </si>
  <si>
    <t>Famille SS - Assu. Chomage</t>
  </si>
  <si>
    <t>Cotisation Satutaires</t>
  </si>
  <si>
    <t>CSG deduction</t>
  </si>
  <si>
    <t>CSG:CRDS</t>
  </si>
  <si>
    <t xml:space="preserve">Salaire NET </t>
  </si>
  <si>
    <t>Salaire Actuelle</t>
  </si>
  <si>
    <t>Compensation sur le Net (toutes cotisations)</t>
  </si>
  <si>
    <t>Salaire de base</t>
  </si>
  <si>
    <t>Compensation  (toutes cotisations)</t>
  </si>
  <si>
    <t>38h30 / semaine, 18 ou 20 RTTs</t>
  </si>
  <si>
    <t>212 jours de travail, 12 RTTs</t>
  </si>
  <si>
    <t>Modalité Standard</t>
  </si>
  <si>
    <t>Réalisation de mission</t>
  </si>
  <si>
    <t>Autonomie complète</t>
  </si>
  <si>
    <t>Compensation pour le Temps de Travail (basé sur les modalités)</t>
  </si>
  <si>
    <t>35h / semaine (avec badgeage), 0 RTT</t>
  </si>
  <si>
    <t>216 jours / an</t>
  </si>
  <si>
    <t xml:space="preserve">Congés Payés </t>
  </si>
  <si>
    <t>28 jours / an (2.33j / mois)</t>
  </si>
  <si>
    <t>30 jours / an (2.5j / mois)</t>
  </si>
  <si>
    <t>à partir du 1er Janvier 2023</t>
  </si>
  <si>
    <t>37h / semaine, 1598h / an, fin du badgage</t>
  </si>
  <si>
    <t xml:space="preserve">Au 1er Juin </t>
  </si>
  <si>
    <t>Crédit des RTTs</t>
  </si>
  <si>
    <t>Courant Juillet 2022</t>
  </si>
  <si>
    <t xml:space="preserve">  5.5 RTTs</t>
  </si>
  <si>
    <t xml:space="preserve">  6.5 RTTs</t>
  </si>
  <si>
    <t xml:space="preserve">  4.5 RTTs</t>
  </si>
  <si>
    <t>AIDE</t>
  </si>
  <si>
    <t>Retour similateur</t>
  </si>
  <si>
    <t>Comment trouver mon salaire de base mensuel?</t>
  </si>
  <si>
    <t>En se basant sur le dernier salaire travaillé</t>
  </si>
  <si>
    <t>Comment trouver ma modalité?</t>
  </si>
  <si>
    <t>Prime de transport</t>
  </si>
  <si>
    <t>Comment trouver mon indenmité de transport?</t>
  </si>
  <si>
    <r>
      <rPr>
        <b/>
        <sz val="18"/>
        <color rgb="FF5D2884"/>
        <rFont val="Calibri"/>
        <family val="2"/>
        <scheme val="minor"/>
      </rPr>
      <t>Attention</t>
    </r>
    <r>
      <rPr>
        <sz val="18"/>
        <color rgb="FF5D2884"/>
        <rFont val="Calibri"/>
        <family val="2"/>
        <scheme val="minor"/>
      </rPr>
      <t>: Montant proratisé en fonction de la présence en 2021</t>
    </r>
  </si>
  <si>
    <t>Surcomplèmentaire retraite privé (Art. 83)</t>
  </si>
  <si>
    <t>Transport</t>
  </si>
  <si>
    <t>Contactez vos élues CFDT pour faire une simulation plus poussée et vous accompagner dans vos démarches</t>
  </si>
  <si>
    <t>Si vous êtes au badgeage, vous êtes</t>
  </si>
  <si>
    <t>Reporter le montant dans la cellule D13, Ligne "SALAIRE DE BASE" Colonne "Montant"</t>
  </si>
  <si>
    <t>Si vous avez entre 18 et 20 jours de RTTs, vous êtes</t>
  </si>
  <si>
    <t>Sinon, vous êtes</t>
  </si>
  <si>
    <t>Ouvrir votre dernier bulletin de paie</t>
  </si>
  <si>
    <t>Soumis à charges</t>
  </si>
  <si>
    <t>non soumis à charges</t>
  </si>
  <si>
    <t>Maintenu</t>
  </si>
  <si>
    <t xml:space="preserve">Cotisations  mutuelle &amp; prévoyance, complément retraite privé </t>
  </si>
  <si>
    <t>% Augmentation</t>
  </si>
  <si>
    <t>1er Aout*</t>
  </si>
  <si>
    <t>1er Août 2022 *</t>
  </si>
  <si>
    <t>1er Octobre 2022 **</t>
  </si>
  <si>
    <t>Bascule sur Workday</t>
  </si>
  <si>
    <t>pour la déclaration du temps de travail et la gestion des absences</t>
  </si>
  <si>
    <t>Aucun</t>
  </si>
  <si>
    <t>-</t>
  </si>
  <si>
    <t>1er Octobre**</t>
  </si>
  <si>
    <t>Issy-les Moulineaux</t>
  </si>
  <si>
    <t>Schiltigheim</t>
  </si>
  <si>
    <t>au mois anniversaire</t>
  </si>
  <si>
    <t>Crédit de jours congés d'ancienneté</t>
  </si>
  <si>
    <t>pas pris en compte</t>
  </si>
  <si>
    <t>Montant BRUT MENSUEL</t>
  </si>
  <si>
    <t>Comparatif mensuel</t>
  </si>
  <si>
    <t>Salaire de base + Prime de transport</t>
  </si>
  <si>
    <t xml:space="preserve">Fusion / Absortion </t>
  </si>
  <si>
    <t>D12</t>
  </si>
  <si>
    <t>I9</t>
  </si>
  <si>
    <t>Section Amadeus</t>
  </si>
  <si>
    <t>Le simulateur ne prend pas en compte les astreintes ni les indemnités de congés payés des 12 derniers mois. Ceci pourrait avoir une incidence sur les estimations du simulateur</t>
  </si>
  <si>
    <t>Autre</t>
  </si>
  <si>
    <t>Modification</t>
  </si>
  <si>
    <t>Véhicule personnel</t>
  </si>
  <si>
    <t>Complément de particiaption</t>
  </si>
  <si>
    <t xml:space="preserve">Renseignez toutes </t>
  </si>
  <si>
    <t>les celulles JAUNES</t>
  </si>
  <si>
    <t>Moto / Auto thermique et électrique</t>
  </si>
  <si>
    <t>Transport en commun, abonnement velib etc...</t>
  </si>
  <si>
    <t>ou</t>
  </si>
  <si>
    <t xml:space="preserve">"IND TRANSP REG PARIS" </t>
  </si>
  <si>
    <t xml:space="preserve">"PRIME TRANS AUTO" </t>
  </si>
  <si>
    <t>Reporter dans la cellule D14,le montant de vos indemnités de transport qui se trouve dans la colonne "Montant"</t>
  </si>
  <si>
    <t>Amadeus S.A.S.</t>
  </si>
  <si>
    <t>Simulateur pour la fusion d'Amadeus France et Amadeus  S.A.S.</t>
  </si>
  <si>
    <t>Amadeus France</t>
  </si>
  <si>
    <t xml:space="preserve"> + 1 jour soit 5j/a pour les salariés ayant une anciennté &gt;= 25 ans</t>
  </si>
  <si>
    <t xml:space="preserve"> + 2 jours soit 6j/a pour les salariés ayant une anciennté &gt;= 30 ans</t>
  </si>
  <si>
    <t>Pour information:</t>
  </si>
  <si>
    <t>Plus d'information newsletter #112</t>
  </si>
  <si>
    <t>Montant repris sur le NET (ligne "Reprise avantage en nature surcomplémentaire")</t>
  </si>
  <si>
    <r>
      <t xml:space="preserve">Le BRUT d'Amadeus S.A.S. inclus la part patronale de la mutuelle complementaire soit </t>
    </r>
    <r>
      <rPr>
        <b/>
        <sz val="12"/>
        <color theme="1"/>
        <rFont val="Calibri"/>
        <family val="2"/>
        <scheme val="minor"/>
      </rPr>
      <t>1,85 Euros</t>
    </r>
    <r>
      <rPr>
        <sz val="12"/>
        <color theme="1"/>
        <rFont val="Calibri"/>
        <family val="2"/>
        <scheme val="minor"/>
      </rPr>
      <t xml:space="preserve"> (ligne "Avantage en nature surcomplémentaire")</t>
    </r>
  </si>
  <si>
    <t>Partie"Désignation" en début du bulletin de paie, soumis à charge</t>
  </si>
  <si>
    <t>Après la partie "Total des contributions et Cotisations" du bulletin de paie, non soumis à charge</t>
  </si>
  <si>
    <t xml:space="preserve">"IND TRANSPORT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</si>
</sst>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quot; &quot;[$€-809]"/>
    <numFmt numFmtId="165" formatCode="[$€-809]#,##0.00"/>
    <numFmt numFmtId="166" formatCode="0.000%"/>
    <numFmt numFmtId="167" formatCode="[$-40C]General"/>
    <numFmt numFmtId="168" formatCode="#,##0.00\ &quot;€&quot;"/>
    <numFmt numFmtId="169" formatCode="[$-809]dd\ mmm\ yyyy"/>
    <numFmt numFmtId="170" formatCode="[$€-462]\ #,##0.00_-"/>
    <numFmt numFmtId="171" formatCode="#,##0.00\ [$€-40C]"/>
  </numFmts>
  <fonts count="91"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sz val="11"/>
      <color rgb="FF000000"/>
      <name val="Arial"/>
      <family val="2"/>
    </font>
    <font>
      <b/>
      <sz val="14"/>
      <color rgb="FFFF0000"/>
      <name val="Calibri"/>
      <family val="2"/>
    </font>
    <font>
      <b/>
      <sz val="11"/>
      <color rgb="FFFF0000"/>
      <name val="Calibri"/>
      <family val="2"/>
    </font>
    <font>
      <b/>
      <sz val="12"/>
      <color rgb="FFFF0000"/>
      <name val="Calibri"/>
      <family val="2"/>
    </font>
    <font>
      <b/>
      <sz val="14"/>
      <color theme="0"/>
      <name val="Arial"/>
      <family val="2"/>
    </font>
    <font>
      <u/>
      <sz val="11"/>
      <color theme="10"/>
      <name val="Calibri"/>
      <family val="2"/>
      <scheme val="minor"/>
    </font>
    <font>
      <b/>
      <sz val="18"/>
      <color theme="0"/>
      <name val="Calibri"/>
      <family val="2"/>
      <scheme val="minor"/>
    </font>
    <font>
      <b/>
      <sz val="12"/>
      <color theme="1"/>
      <name val="Calibri"/>
      <family val="2"/>
      <scheme val="minor"/>
    </font>
    <font>
      <sz val="12"/>
      <color theme="1"/>
      <name val="Calibri"/>
      <family val="2"/>
      <scheme val="minor"/>
    </font>
    <font>
      <sz val="11"/>
      <color rgb="FFFF0000"/>
      <name val="Calibri"/>
      <family val="2"/>
      <scheme val="minor"/>
    </font>
    <font>
      <sz val="11"/>
      <color theme="0"/>
      <name val="Calibri"/>
      <family val="2"/>
      <scheme val="minor"/>
    </font>
    <font>
      <b/>
      <sz val="11"/>
      <color theme="0"/>
      <name val="Calibri"/>
      <family val="2"/>
      <scheme val="minor"/>
    </font>
    <font>
      <b/>
      <sz val="14"/>
      <color theme="0"/>
      <name val="Calibri"/>
      <family val="2"/>
      <scheme val="minor"/>
    </font>
    <font>
      <sz val="14"/>
      <color theme="2" tint="-0.749992370372631"/>
      <name val="Calibri"/>
      <family val="2"/>
      <scheme val="minor"/>
    </font>
    <font>
      <b/>
      <sz val="20"/>
      <color theme="5" tint="-0.249977111117893"/>
      <name val="Calibri"/>
      <family val="2"/>
      <scheme val="minor"/>
    </font>
    <font>
      <b/>
      <sz val="16"/>
      <color rgb="FFFF0000"/>
      <name val="Calibri"/>
      <family val="2"/>
      <scheme val="minor"/>
    </font>
    <font>
      <sz val="11"/>
      <color theme="2" tint="-0.749992370372631"/>
      <name val="Calibri"/>
      <family val="2"/>
      <scheme val="minor"/>
    </font>
    <font>
      <b/>
      <sz val="14"/>
      <color theme="1"/>
      <name val="Calibri"/>
      <family val="2"/>
      <scheme val="minor"/>
    </font>
    <font>
      <b/>
      <sz val="14"/>
      <color rgb="FFFF0000"/>
      <name val="Calibri"/>
      <family val="2"/>
      <scheme val="minor"/>
    </font>
    <font>
      <sz val="10"/>
      <color theme="0"/>
      <name val="Calibri"/>
      <family val="2"/>
      <scheme val="minor"/>
    </font>
    <font>
      <sz val="9"/>
      <color theme="1"/>
      <name val="Calibri"/>
      <family val="2"/>
      <scheme val="minor"/>
    </font>
    <font>
      <sz val="9"/>
      <color theme="2" tint="-0.749992370372631"/>
      <name val="Calibri"/>
      <family val="2"/>
      <scheme val="minor"/>
    </font>
    <font>
      <sz val="9"/>
      <color indexed="81"/>
      <name val="Tahoma"/>
      <family val="2"/>
    </font>
    <font>
      <b/>
      <sz val="9"/>
      <color indexed="81"/>
      <name val="Tahoma"/>
      <family val="2"/>
    </font>
    <font>
      <sz val="14"/>
      <color theme="1"/>
      <name val="Calibri"/>
      <family val="2"/>
      <scheme val="minor"/>
    </font>
    <font>
      <u/>
      <sz val="12"/>
      <color theme="10"/>
      <name val="Calibri"/>
      <family val="2"/>
      <scheme val="minor"/>
    </font>
    <font>
      <sz val="12"/>
      <color rgb="FFFF0000"/>
      <name val="Calibri"/>
      <family val="2"/>
      <scheme val="minor"/>
    </font>
    <font>
      <sz val="12"/>
      <color theme="2" tint="-0.749992370372631"/>
      <name val="Calibri"/>
      <family val="2"/>
      <scheme val="minor"/>
    </font>
    <font>
      <b/>
      <sz val="12"/>
      <color theme="2" tint="-0.749992370372631"/>
      <name val="Calibri"/>
      <family val="2"/>
      <scheme val="minor"/>
    </font>
    <font>
      <b/>
      <sz val="11"/>
      <color theme="2" tint="-0.749992370372631"/>
      <name val="Calibri"/>
      <family val="2"/>
      <scheme val="minor"/>
    </font>
    <font>
      <b/>
      <sz val="9"/>
      <color theme="2" tint="-0.749992370372631"/>
      <name val="Calibri"/>
      <family val="2"/>
      <scheme val="minor"/>
    </font>
    <font>
      <sz val="11"/>
      <color rgb="FFFF0000"/>
      <name val="Calibri"/>
      <family val="2"/>
    </font>
    <font>
      <b/>
      <sz val="11"/>
      <name val="Calibri"/>
      <family val="2"/>
    </font>
    <font>
      <sz val="11"/>
      <name val="Calibri"/>
      <family val="2"/>
    </font>
    <font>
      <b/>
      <sz val="11"/>
      <color theme="8" tint="-0.249977111117893"/>
      <name val="Calibri"/>
      <family val="2"/>
    </font>
    <font>
      <sz val="11"/>
      <name val="Calibri"/>
      <family val="2"/>
      <scheme val="minor"/>
    </font>
    <font>
      <b/>
      <sz val="12"/>
      <name val="Calibri"/>
      <family val="2"/>
    </font>
    <font>
      <i/>
      <sz val="11"/>
      <color theme="1" tint="0.34998626667073579"/>
      <name val="Calibri"/>
      <family val="2"/>
    </font>
    <font>
      <i/>
      <sz val="11"/>
      <color theme="1" tint="0.34998626667073579"/>
      <name val="Calibri"/>
      <family val="2"/>
      <scheme val="minor"/>
    </font>
    <font>
      <b/>
      <i/>
      <sz val="11"/>
      <color theme="1" tint="0.34998626667073579"/>
      <name val="Calibri"/>
      <family val="2"/>
    </font>
    <font>
      <sz val="11"/>
      <color theme="1"/>
      <name val="Calibri"/>
      <family val="2"/>
    </font>
    <font>
      <b/>
      <sz val="12"/>
      <color theme="0"/>
      <name val="Calibri"/>
      <family val="2"/>
      <scheme val="minor"/>
    </font>
    <font>
      <i/>
      <sz val="11"/>
      <color rgb="FF000000"/>
      <name val="Calibri"/>
      <family val="2"/>
    </font>
    <font>
      <b/>
      <i/>
      <sz val="11"/>
      <color rgb="FF000000"/>
      <name val="Calibri"/>
      <family val="2"/>
    </font>
    <font>
      <b/>
      <sz val="16"/>
      <color theme="0"/>
      <name val="Calibri"/>
      <family val="2"/>
      <scheme val="minor"/>
    </font>
    <font>
      <sz val="12"/>
      <name val="Calibri"/>
      <family val="2"/>
    </font>
    <font>
      <b/>
      <sz val="14"/>
      <name val="Calibri"/>
      <family val="2"/>
      <scheme val="minor"/>
    </font>
    <font>
      <b/>
      <sz val="18"/>
      <color theme="0"/>
      <name val="Calibri"/>
      <family val="2"/>
    </font>
    <font>
      <b/>
      <sz val="16"/>
      <color theme="0"/>
      <name val="Calibri"/>
      <family val="2"/>
    </font>
    <font>
      <b/>
      <sz val="16"/>
      <color rgb="FF000000"/>
      <name val="Calibri"/>
      <family val="2"/>
    </font>
    <font>
      <sz val="14"/>
      <color rgb="FF000000"/>
      <name val="Calibri"/>
      <family val="2"/>
    </font>
    <font>
      <i/>
      <sz val="11"/>
      <name val="Calibri"/>
      <family val="2"/>
    </font>
    <font>
      <sz val="14"/>
      <color theme="0"/>
      <name val="Calibri"/>
      <family val="2"/>
      <scheme val="minor"/>
    </font>
    <font>
      <sz val="16"/>
      <color theme="1"/>
      <name val="Calibri"/>
      <family val="2"/>
      <scheme val="minor"/>
    </font>
    <font>
      <b/>
      <sz val="22"/>
      <color theme="0"/>
      <name val="Calibri"/>
      <family val="2"/>
      <scheme val="minor"/>
    </font>
    <font>
      <sz val="18"/>
      <color theme="1"/>
      <name val="Calibri"/>
      <family val="2"/>
      <scheme val="minor"/>
    </font>
    <font>
      <sz val="18"/>
      <color rgb="FFFF0000"/>
      <name val="Calibri"/>
      <family val="2"/>
      <scheme val="minor"/>
    </font>
    <font>
      <sz val="16"/>
      <color theme="2" tint="-0.749992370372631"/>
      <name val="Calibri"/>
      <family val="2"/>
      <scheme val="minor"/>
    </font>
    <font>
      <b/>
      <sz val="11"/>
      <color theme="0"/>
      <name val="Calibri"/>
      <family val="2"/>
    </font>
    <font>
      <sz val="18"/>
      <name val="Calibri"/>
      <family val="2"/>
      <scheme val="minor"/>
    </font>
    <font>
      <sz val="16"/>
      <name val="Calibri"/>
      <family val="2"/>
      <scheme val="minor"/>
    </font>
    <font>
      <b/>
      <sz val="20"/>
      <color theme="0"/>
      <name val="Calibri"/>
      <family val="2"/>
      <scheme val="minor"/>
    </font>
    <font>
      <b/>
      <sz val="16"/>
      <color theme="1"/>
      <name val="Calibri"/>
      <family val="2"/>
      <scheme val="minor"/>
    </font>
    <font>
      <b/>
      <sz val="20"/>
      <color theme="1"/>
      <name val="Calibri"/>
      <family val="2"/>
      <scheme val="minor"/>
    </font>
    <font>
      <b/>
      <sz val="20"/>
      <color rgb="FFFF0000"/>
      <name val="Calibri"/>
      <family val="2"/>
      <scheme val="minor"/>
    </font>
    <font>
      <b/>
      <sz val="20"/>
      <color theme="9" tint="-0.499984740745262"/>
      <name val="Calibri"/>
      <family val="2"/>
      <scheme val="minor"/>
    </font>
    <font>
      <b/>
      <sz val="20"/>
      <color theme="8"/>
      <name val="Calibri"/>
      <family val="2"/>
      <scheme val="minor"/>
    </font>
    <font>
      <b/>
      <sz val="20"/>
      <color theme="5"/>
      <name val="Calibri"/>
      <family val="2"/>
      <scheme val="minor"/>
    </font>
    <font>
      <sz val="17"/>
      <color theme="1"/>
      <name val="Arial"/>
      <family val="2"/>
    </font>
    <font>
      <b/>
      <sz val="20"/>
      <name val="Calibri"/>
      <family val="2"/>
      <scheme val="minor"/>
    </font>
    <font>
      <sz val="11"/>
      <color rgb="FF7030A0"/>
      <name val="Calibri"/>
      <family val="2"/>
      <scheme val="minor"/>
    </font>
    <font>
      <b/>
      <sz val="20"/>
      <color rgb="FF7030A0"/>
      <name val="Calibri"/>
      <family val="2"/>
      <scheme val="minor"/>
    </font>
    <font>
      <sz val="18"/>
      <color rgb="FF7030A0"/>
      <name val="Calibri"/>
      <family val="2"/>
      <scheme val="minor"/>
    </font>
    <font>
      <sz val="18"/>
      <color rgb="FF5D2884"/>
      <name val="Calibri"/>
      <family val="2"/>
      <scheme val="minor"/>
    </font>
    <font>
      <b/>
      <sz val="18"/>
      <color rgb="FF5D2884"/>
      <name val="Calibri"/>
      <family val="2"/>
      <scheme val="minor"/>
    </font>
    <font>
      <sz val="18"/>
      <color theme="0"/>
      <name val="Calibri"/>
      <family val="2"/>
      <scheme val="minor"/>
    </font>
    <font>
      <b/>
      <sz val="20"/>
      <color theme="8" tint="-0.499984740745262"/>
      <name val="Calibri"/>
      <family val="2"/>
      <scheme val="minor"/>
    </font>
    <font>
      <b/>
      <sz val="18"/>
      <color theme="9" tint="-0.249977111117893"/>
      <name val="Calibri"/>
      <family val="2"/>
      <scheme val="minor"/>
    </font>
    <font>
      <b/>
      <sz val="18"/>
      <color rgb="FFFF0000"/>
      <name val="Calibri"/>
      <family val="2"/>
      <scheme val="minor"/>
    </font>
    <font>
      <b/>
      <sz val="16"/>
      <color theme="8"/>
      <name val="Calibri"/>
      <family val="2"/>
      <scheme val="minor"/>
    </font>
    <font>
      <b/>
      <sz val="16"/>
      <color theme="9" tint="-0.499984740745262"/>
      <name val="Calibri"/>
      <family val="2"/>
      <scheme val="minor"/>
    </font>
    <font>
      <b/>
      <sz val="16"/>
      <color theme="8" tint="-0.499984740745262"/>
      <name val="Calibri"/>
      <family val="2"/>
      <scheme val="minor"/>
    </font>
    <font>
      <sz val="20"/>
      <color theme="2" tint="-0.749992370372631"/>
      <name val="Calibri"/>
      <family val="2"/>
      <scheme val="minor"/>
    </font>
    <font>
      <b/>
      <sz val="16"/>
      <color theme="2" tint="-0.749992370372631"/>
      <name val="Calibri"/>
      <family val="2"/>
      <scheme val="minor"/>
    </font>
    <font>
      <sz val="14"/>
      <color indexed="81"/>
      <name val="Tahoma"/>
      <family val="2"/>
    </font>
    <font>
      <sz val="11"/>
      <color rgb="FF242424"/>
      <name val="Segoe UI"/>
      <family val="2"/>
    </font>
  </fonts>
  <fills count="50">
    <fill>
      <patternFill patternType="none"/>
    </fill>
    <fill>
      <patternFill patternType="gray125"/>
    </fill>
    <fill>
      <patternFill patternType="solid">
        <fgColor rgb="FFE2EFDA"/>
        <bgColor rgb="FFE2EFDA"/>
      </patternFill>
    </fill>
    <fill>
      <patternFill patternType="solid">
        <fgColor rgb="FFC6E0B4"/>
        <bgColor rgb="FFC6E0B4"/>
      </patternFill>
    </fill>
    <fill>
      <patternFill patternType="solid">
        <fgColor rgb="FFFCE4D6"/>
        <bgColor rgb="FFFCE4D6"/>
      </patternFill>
    </fill>
    <fill>
      <patternFill patternType="solid">
        <fgColor rgb="FFE7E6E6"/>
        <bgColor rgb="FFE7E6E6"/>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rgb="FFFCE4D6"/>
      </patternFill>
    </fill>
    <fill>
      <patternFill patternType="solid">
        <fgColor theme="4" tint="0.79998168889431442"/>
        <bgColor rgb="FFE2EFDA"/>
      </patternFill>
    </fill>
    <fill>
      <patternFill patternType="solid">
        <fgColor theme="9" tint="0.79998168889431442"/>
        <bgColor rgb="FFE2EFDA"/>
      </patternFill>
    </fill>
    <fill>
      <patternFill patternType="solid">
        <fgColor rgb="FFFFFF00"/>
        <bgColor rgb="FFE2EFDA"/>
      </patternFill>
    </fill>
    <fill>
      <patternFill patternType="solid">
        <fgColor theme="9" tint="0.79998168889431442"/>
        <bgColor rgb="FFFFFF00"/>
      </patternFill>
    </fill>
    <fill>
      <patternFill patternType="solid">
        <fgColor theme="5" tint="0.59999389629810485"/>
        <bgColor rgb="FFE2EFDA"/>
      </patternFill>
    </fill>
    <fill>
      <patternFill patternType="solid">
        <fgColor theme="4" tint="-0.249977111117893"/>
        <bgColor indexed="64"/>
      </patternFill>
    </fill>
    <fill>
      <patternFill patternType="solid">
        <fgColor theme="0" tint="-0.499984740745262"/>
        <bgColor indexed="64"/>
      </patternFill>
    </fill>
    <fill>
      <patternFill patternType="solid">
        <fgColor theme="0" tint="-0.34998626667073579"/>
        <bgColor rgb="FFFCE4D6"/>
      </patternFill>
    </fill>
    <fill>
      <patternFill patternType="solid">
        <fgColor theme="0" tint="-0.34998626667073579"/>
        <bgColor rgb="FFE2EFDA"/>
      </patternFill>
    </fill>
    <fill>
      <patternFill patternType="solid">
        <fgColor theme="0" tint="-0.34998626667073579"/>
        <bgColor rgb="FFC6E0B4"/>
      </patternFill>
    </fill>
    <fill>
      <patternFill patternType="solid">
        <fgColor theme="7" tint="0.59999389629810485"/>
        <bgColor rgb="FFE2EFDA"/>
      </patternFill>
    </fill>
    <fill>
      <patternFill patternType="solid">
        <fgColor theme="1" tint="0.249977111117893"/>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1" tint="0.14999847407452621"/>
        <bgColor indexed="64"/>
      </patternFill>
    </fill>
    <fill>
      <patternFill patternType="solid">
        <fgColor rgb="FFED7A2B"/>
        <bgColor indexed="64"/>
      </patternFill>
    </fill>
    <fill>
      <patternFill patternType="solid">
        <fgColor theme="4"/>
        <bgColor indexed="64"/>
      </patternFill>
    </fill>
    <fill>
      <patternFill patternType="solid">
        <fgColor theme="9" tint="-0.249977111117893"/>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rgb="FF5D2884"/>
        <bgColor indexed="64"/>
      </patternFill>
    </fill>
    <fill>
      <patternFill patternType="solid">
        <fgColor rgb="FFCDACE6"/>
        <bgColor indexed="64"/>
      </patternFill>
    </fill>
    <fill>
      <patternFill patternType="solid">
        <fgColor rgb="FFE8D9F3"/>
        <bgColor indexed="64"/>
      </patternFill>
    </fill>
    <fill>
      <patternFill patternType="solid">
        <fgColor theme="1" tint="0.34998626667073579"/>
        <bgColor indexed="64"/>
      </patternFill>
    </fill>
    <fill>
      <patternFill patternType="solid">
        <fgColor rgb="FFFF0000"/>
        <bgColor indexed="64"/>
      </patternFill>
    </fill>
    <fill>
      <patternFill patternType="solid">
        <fgColor theme="9" tint="0.59999389629810485"/>
        <bgColor rgb="FFE2EFDA"/>
      </patternFill>
    </fill>
  </fills>
  <borders count="34">
    <border>
      <left/>
      <right/>
      <top/>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Dot">
        <color indexed="64"/>
      </bottom>
      <diagonal/>
    </border>
    <border>
      <left/>
      <right/>
      <top style="thin">
        <color indexed="64"/>
      </top>
      <bottom style="dashDot">
        <color indexed="64"/>
      </bottom>
      <diagonal/>
    </border>
    <border>
      <left/>
      <right style="thin">
        <color indexed="64"/>
      </right>
      <top style="thin">
        <color indexed="64"/>
      </top>
      <bottom style="dashDot">
        <color indexed="64"/>
      </bottom>
      <diagonal/>
    </border>
    <border>
      <left style="thin">
        <color indexed="64"/>
      </left>
      <right/>
      <top style="dashDot">
        <color indexed="64"/>
      </top>
      <bottom/>
      <diagonal/>
    </border>
    <border>
      <left/>
      <right/>
      <top style="dashDot">
        <color indexed="64"/>
      </top>
      <bottom/>
      <diagonal/>
    </border>
    <border>
      <left/>
      <right style="thin">
        <color indexed="64"/>
      </right>
      <top style="dashDot">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ashDotDot">
        <color indexed="64"/>
      </right>
      <top style="thin">
        <color indexed="64"/>
      </top>
      <bottom style="thin">
        <color indexed="64"/>
      </bottom>
      <diagonal/>
    </border>
    <border>
      <left/>
      <right style="dashDotDot">
        <color indexed="64"/>
      </right>
      <top style="thin">
        <color indexed="64"/>
      </top>
      <bottom/>
      <diagonal/>
    </border>
    <border>
      <left/>
      <right style="dashDotDot">
        <color indexed="64"/>
      </right>
      <top/>
      <bottom style="thin">
        <color indexed="64"/>
      </bottom>
      <diagonal/>
    </border>
    <border>
      <left/>
      <right style="dashDotDot">
        <color indexed="64"/>
      </right>
      <top/>
      <bottom/>
      <diagonal/>
    </border>
    <border>
      <left style="thin">
        <color indexed="64"/>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9" fontId="2" fillId="0" borderId="0" applyFont="0" applyFill="0" applyBorder="0" applyAlignment="0" applyProtection="0"/>
    <xf numFmtId="0" fontId="3" fillId="0" borderId="0" applyNumberFormat="0" applyBorder="0" applyProtection="0"/>
    <xf numFmtId="9" fontId="5" fillId="0" borderId="0" applyFont="0" applyFill="0" applyBorder="0" applyAlignment="0" applyProtection="0"/>
    <xf numFmtId="0" fontId="5" fillId="0" borderId="0"/>
    <xf numFmtId="167" fontId="3" fillId="0" borderId="0" applyBorder="0" applyProtection="0"/>
    <xf numFmtId="0" fontId="5" fillId="0" borderId="0"/>
    <xf numFmtId="0" fontId="10" fillId="0" borderId="0" applyNumberFormat="0" applyFill="0" applyBorder="0" applyAlignment="0" applyProtection="0"/>
  </cellStyleXfs>
  <cellXfs count="751">
    <xf numFmtId="0" fontId="0" fillId="0" borderId="0" xfId="0"/>
    <xf numFmtId="0" fontId="3" fillId="0" borderId="0" xfId="2"/>
    <xf numFmtId="0" fontId="4" fillId="3" borderId="0" xfId="2" applyFont="1" applyFill="1" applyAlignment="1">
      <alignment horizontal="center"/>
    </xf>
    <xf numFmtId="9" fontId="3" fillId="3" borderId="0" xfId="3" applyFont="1" applyFill="1" applyAlignment="1">
      <alignment horizontal="center"/>
    </xf>
    <xf numFmtId="164" fontId="7" fillId="3" borderId="0" xfId="2" applyNumberFormat="1" applyFont="1" applyFill="1"/>
    <xf numFmtId="165" fontId="3" fillId="2" borderId="0" xfId="2" applyNumberFormat="1" applyFill="1"/>
    <xf numFmtId="164" fontId="7" fillId="2" borderId="0" xfId="2" applyNumberFormat="1" applyFont="1" applyFill="1"/>
    <xf numFmtId="165" fontId="8" fillId="3" borderId="0" xfId="2" applyNumberFormat="1" applyFont="1" applyFill="1"/>
    <xf numFmtId="0" fontId="4" fillId="4" borderId="0" xfId="2" applyFont="1" applyFill="1"/>
    <xf numFmtId="0" fontId="3" fillId="4" borderId="0" xfId="2" applyFill="1" applyAlignment="1">
      <alignment horizontal="right"/>
    </xf>
    <xf numFmtId="166" fontId="0" fillId="2" borderId="0" xfId="3" applyNumberFormat="1" applyFont="1" applyFill="1"/>
    <xf numFmtId="165" fontId="3" fillId="5" borderId="1" xfId="2" applyNumberFormat="1" applyFill="1" applyBorder="1"/>
    <xf numFmtId="0" fontId="3" fillId="5" borderId="1" xfId="2" applyFill="1" applyBorder="1"/>
    <xf numFmtId="0" fontId="3" fillId="4" borderId="0" xfId="2" applyFill="1" applyAlignment="1">
      <alignment horizontal="right" wrapText="1"/>
    </xf>
    <xf numFmtId="0" fontId="3" fillId="5" borderId="2" xfId="2" applyFill="1" applyBorder="1"/>
    <xf numFmtId="164" fontId="3" fillId="0" borderId="0" xfId="2" applyNumberFormat="1"/>
    <xf numFmtId="0" fontId="4" fillId="0" borderId="0" xfId="2" applyFont="1"/>
    <xf numFmtId="0" fontId="0" fillId="7" borderId="0" xfId="0" applyFill="1"/>
    <xf numFmtId="0" fontId="0" fillId="7" borderId="0" xfId="0" applyFill="1" applyAlignment="1">
      <alignment horizontal="left" vertical="center"/>
    </xf>
    <xf numFmtId="0" fontId="3" fillId="0" borderId="0" xfId="2" applyAlignment="1">
      <alignment horizontal="right"/>
    </xf>
    <xf numFmtId="0" fontId="23" fillId="7" borderId="0" xfId="0" applyFont="1" applyFill="1"/>
    <xf numFmtId="0" fontId="0" fillId="0" borderId="0" xfId="0" applyAlignment="1">
      <alignment horizontal="center"/>
    </xf>
    <xf numFmtId="165" fontId="3" fillId="2" borderId="0" xfId="2" applyNumberFormat="1" applyFill="1" applyAlignment="1">
      <alignment horizontal="center"/>
    </xf>
    <xf numFmtId="0" fontId="0" fillId="0" borderId="0" xfId="0" applyAlignment="1">
      <alignment horizontal="right"/>
    </xf>
    <xf numFmtId="0" fontId="1" fillId="0" borderId="0" xfId="0" applyFont="1" applyAlignment="1">
      <alignment horizontal="center"/>
    </xf>
    <xf numFmtId="164" fontId="3" fillId="2" borderId="0" xfId="2" applyNumberFormat="1" applyFill="1" applyAlignment="1">
      <alignment horizontal="center"/>
    </xf>
    <xf numFmtId="0" fontId="25" fillId="0" borderId="0" xfId="0" applyFont="1"/>
    <xf numFmtId="0" fontId="29" fillId="0" borderId="0" xfId="0" applyFont="1"/>
    <xf numFmtId="0" fontId="13" fillId="0" borderId="0" xfId="0" applyFont="1"/>
    <xf numFmtId="0" fontId="30" fillId="0" borderId="0" xfId="7" applyFont="1" applyProtection="1"/>
    <xf numFmtId="0" fontId="31" fillId="0" borderId="0" xfId="0" applyFont="1"/>
    <xf numFmtId="0" fontId="10" fillId="7" borderId="0" xfId="7" applyFill="1" applyAlignment="1">
      <alignment horizontal="center" vertical="center"/>
    </xf>
    <xf numFmtId="0" fontId="18" fillId="7" borderId="0" xfId="0" applyFont="1" applyFill="1" applyAlignment="1">
      <alignment vertical="center" wrapText="1"/>
    </xf>
    <xf numFmtId="0" fontId="10" fillId="0" borderId="0" xfId="7" applyProtection="1"/>
    <xf numFmtId="170" fontId="3" fillId="0" borderId="0" xfId="2" applyNumberFormat="1"/>
    <xf numFmtId="10" fontId="3" fillId="0" borderId="0" xfId="2" applyNumberFormat="1"/>
    <xf numFmtId="0" fontId="10" fillId="7" borderId="0" xfId="7" applyFill="1" applyAlignment="1">
      <alignment horizontal="right" vertical="center"/>
    </xf>
    <xf numFmtId="0" fontId="4" fillId="0" borderId="0" xfId="2" applyFont="1" applyAlignment="1">
      <alignment horizontal="right"/>
    </xf>
    <xf numFmtId="0" fontId="10" fillId="0" borderId="0" xfId="7" applyFill="1"/>
    <xf numFmtId="0" fontId="16" fillId="7" borderId="0" xfId="0" applyFont="1" applyFill="1" applyAlignment="1">
      <alignment horizontal="center" vertical="center" wrapText="1"/>
    </xf>
    <xf numFmtId="0" fontId="26" fillId="7" borderId="0" xfId="0" applyFont="1" applyFill="1" applyAlignment="1">
      <alignment horizontal="right" vertical="center"/>
    </xf>
    <xf numFmtId="0" fontId="4" fillId="2" borderId="0" xfId="2" applyFont="1" applyFill="1" applyAlignment="1">
      <alignment horizontal="center"/>
    </xf>
    <xf numFmtId="164" fontId="3" fillId="5" borderId="4" xfId="2" applyNumberFormat="1" applyFill="1" applyBorder="1"/>
    <xf numFmtId="0" fontId="3" fillId="5" borderId="4" xfId="2" applyFill="1" applyBorder="1"/>
    <xf numFmtId="166" fontId="0" fillId="5" borderId="4" xfId="3" applyNumberFormat="1" applyFont="1" applyFill="1" applyBorder="1"/>
    <xf numFmtId="164" fontId="3" fillId="5" borderId="15" xfId="2" applyNumberFormat="1" applyFill="1" applyBorder="1"/>
    <xf numFmtId="0" fontId="3" fillId="4" borderId="16" xfId="2" applyFill="1" applyBorder="1" applyAlignment="1">
      <alignment horizontal="right"/>
    </xf>
    <xf numFmtId="0" fontId="3" fillId="4" borderId="9" xfId="2" applyFill="1" applyBorder="1" applyAlignment="1">
      <alignment horizontal="right"/>
    </xf>
    <xf numFmtId="164" fontId="3" fillId="2" borderId="0" xfId="2" applyNumberFormat="1" applyFill="1" applyBorder="1"/>
    <xf numFmtId="166" fontId="0" fillId="2" borderId="0" xfId="3" applyNumberFormat="1" applyFont="1" applyFill="1" applyBorder="1"/>
    <xf numFmtId="166" fontId="0" fillId="3" borderId="0" xfId="3" applyNumberFormat="1" applyFont="1" applyFill="1" applyBorder="1"/>
    <xf numFmtId="164" fontId="3" fillId="3" borderId="10" xfId="2" applyNumberFormat="1" applyFill="1" applyBorder="1"/>
    <xf numFmtId="164" fontId="3" fillId="2" borderId="5" xfId="2" applyNumberFormat="1" applyFill="1" applyBorder="1"/>
    <xf numFmtId="166" fontId="0" fillId="2" borderId="5" xfId="3" applyNumberFormat="1" applyFont="1" applyFill="1" applyBorder="1"/>
    <xf numFmtId="166" fontId="0" fillId="3" borderId="5" xfId="3" applyNumberFormat="1" applyFont="1" applyFill="1" applyBorder="1"/>
    <xf numFmtId="164" fontId="3" fillId="3" borderId="17" xfId="2" applyNumberFormat="1" applyFill="1" applyBorder="1"/>
    <xf numFmtId="0" fontId="3" fillId="14" borderId="9" xfId="2" applyFill="1" applyBorder="1" applyAlignment="1">
      <alignment horizontal="right"/>
    </xf>
    <xf numFmtId="0" fontId="3" fillId="14" borderId="16" xfId="2" applyFill="1" applyBorder="1" applyAlignment="1">
      <alignment horizontal="right"/>
    </xf>
    <xf numFmtId="164" fontId="4" fillId="16" borderId="0" xfId="2" applyNumberFormat="1" applyFont="1" applyFill="1" applyBorder="1"/>
    <xf numFmtId="164" fontId="4" fillId="2" borderId="0" xfId="2" applyNumberFormat="1" applyFont="1" applyFill="1" applyBorder="1"/>
    <xf numFmtId="164" fontId="4" fillId="2" borderId="5" xfId="2" applyNumberFormat="1" applyFont="1" applyFill="1" applyBorder="1"/>
    <xf numFmtId="0" fontId="36" fillId="0" borderId="0" xfId="2" applyFont="1" applyAlignment="1">
      <alignment horizontal="right"/>
    </xf>
    <xf numFmtId="164" fontId="36" fillId="0" borderId="0" xfId="2" applyNumberFormat="1" applyFont="1"/>
    <xf numFmtId="0" fontId="4" fillId="0" borderId="9" xfId="2" applyFont="1" applyBorder="1" applyAlignment="1">
      <alignment horizontal="center"/>
    </xf>
    <xf numFmtId="170" fontId="4" fillId="0" borderId="10" xfId="2" applyNumberFormat="1" applyFont="1" applyBorder="1" applyAlignment="1">
      <alignment horizontal="center"/>
    </xf>
    <xf numFmtId="164" fontId="3" fillId="15" borderId="14" xfId="2" applyNumberFormat="1" applyFill="1" applyBorder="1"/>
    <xf numFmtId="10" fontId="3" fillId="0" borderId="16" xfId="1" applyNumberFormat="1" applyFont="1" applyBorder="1"/>
    <xf numFmtId="10" fontId="3" fillId="0" borderId="17" xfId="1" applyNumberFormat="1" applyFont="1" applyBorder="1"/>
    <xf numFmtId="164" fontId="3" fillId="3" borderId="5" xfId="2" applyNumberFormat="1" applyFill="1" applyBorder="1"/>
    <xf numFmtId="0" fontId="3" fillId="0" borderId="10" xfId="2" applyBorder="1"/>
    <xf numFmtId="0" fontId="3" fillId="0" borderId="17" xfId="2" applyBorder="1"/>
    <xf numFmtId="0" fontId="4" fillId="0" borderId="16" xfId="2" applyFont="1" applyBorder="1" applyAlignment="1">
      <alignment horizontal="center"/>
    </xf>
    <xf numFmtId="170" fontId="4" fillId="0" borderId="17" xfId="2" applyNumberFormat="1" applyFont="1" applyBorder="1" applyAlignment="1">
      <alignment horizontal="center"/>
    </xf>
    <xf numFmtId="164" fontId="36" fillId="15" borderId="11" xfId="2" applyNumberFormat="1" applyFont="1" applyFill="1" applyBorder="1"/>
    <xf numFmtId="167" fontId="9" fillId="6" borderId="3" xfId="5" applyFont="1" applyFill="1" applyBorder="1" applyAlignment="1">
      <alignment vertical="center"/>
    </xf>
    <xf numFmtId="167" fontId="9" fillId="6" borderId="4" xfId="5" applyFont="1" applyFill="1" applyBorder="1" applyAlignment="1">
      <alignment vertical="center"/>
    </xf>
    <xf numFmtId="165" fontId="3" fillId="2" borderId="5" xfId="2" applyNumberFormat="1" applyFill="1" applyBorder="1"/>
    <xf numFmtId="164" fontId="7" fillId="2" borderId="5" xfId="2" applyNumberFormat="1" applyFont="1" applyFill="1" applyBorder="1"/>
    <xf numFmtId="0" fontId="38" fillId="0" borderId="0" xfId="2" applyFont="1" applyAlignment="1">
      <alignment horizontal="right"/>
    </xf>
    <xf numFmtId="0" fontId="39" fillId="4" borderId="3" xfId="2" applyFont="1" applyFill="1" applyBorder="1"/>
    <xf numFmtId="164" fontId="36" fillId="2" borderId="0" xfId="2" applyNumberFormat="1" applyFont="1" applyFill="1" applyBorder="1"/>
    <xf numFmtId="0" fontId="3" fillId="4" borderId="9" xfId="2" applyFill="1" applyBorder="1" applyAlignment="1">
      <alignment horizontal="right" wrapText="1"/>
    </xf>
    <xf numFmtId="164" fontId="4" fillId="3" borderId="10" xfId="2" applyNumberFormat="1" applyFont="1" applyFill="1" applyBorder="1"/>
    <xf numFmtId="164" fontId="4" fillId="3" borderId="17" xfId="2" applyNumberFormat="1" applyFont="1" applyFill="1" applyBorder="1"/>
    <xf numFmtId="164" fontId="38" fillId="2" borderId="0" xfId="2" applyNumberFormat="1" applyFont="1" applyFill="1" applyBorder="1"/>
    <xf numFmtId="166" fontId="40" fillId="2" borderId="0" xfId="3" applyNumberFormat="1" applyFont="1" applyFill="1" applyBorder="1"/>
    <xf numFmtId="0" fontId="39" fillId="4" borderId="18" xfId="2" applyFont="1" applyFill="1" applyBorder="1"/>
    <xf numFmtId="164" fontId="3" fillId="5" borderId="19" xfId="2" applyNumberFormat="1" applyFill="1" applyBorder="1"/>
    <xf numFmtId="0" fontId="3" fillId="5" borderId="19" xfId="2" applyFill="1" applyBorder="1"/>
    <xf numFmtId="166" fontId="0" fillId="5" borderId="19" xfId="3" applyNumberFormat="1" applyFont="1" applyFill="1" applyBorder="1"/>
    <xf numFmtId="164" fontId="3" fillId="5" borderId="20" xfId="2" applyNumberFormat="1" applyFill="1" applyBorder="1"/>
    <xf numFmtId="0" fontId="3" fillId="4" borderId="21" xfId="2" applyFill="1" applyBorder="1" applyAlignment="1">
      <alignment horizontal="right"/>
    </xf>
    <xf numFmtId="164" fontId="3" fillId="2" borderId="22" xfId="2" applyNumberFormat="1" applyFill="1" applyBorder="1"/>
    <xf numFmtId="166" fontId="0" fillId="2" borderId="22" xfId="3" applyNumberFormat="1" applyFont="1" applyFill="1" applyBorder="1"/>
    <xf numFmtId="166" fontId="0" fillId="3" borderId="22" xfId="3" applyNumberFormat="1" applyFont="1" applyFill="1" applyBorder="1"/>
    <xf numFmtId="164" fontId="3" fillId="3" borderId="23" xfId="2" applyNumberFormat="1" applyFill="1" applyBorder="1"/>
    <xf numFmtId="165" fontId="3" fillId="3" borderId="10" xfId="2" applyNumberFormat="1" applyFill="1" applyBorder="1"/>
    <xf numFmtId="165" fontId="3" fillId="3" borderId="0" xfId="2" applyNumberFormat="1" applyFill="1" applyBorder="1"/>
    <xf numFmtId="164" fontId="38" fillId="15" borderId="11" xfId="2" applyNumberFormat="1" applyFont="1" applyFill="1" applyBorder="1"/>
    <xf numFmtId="164" fontId="6" fillId="17" borderId="0" xfId="2" applyNumberFormat="1" applyFont="1" applyFill="1"/>
    <xf numFmtId="10" fontId="36" fillId="0" borderId="16" xfId="1" applyNumberFormat="1" applyFont="1" applyBorder="1"/>
    <xf numFmtId="165" fontId="42" fillId="3" borderId="17" xfId="2" applyNumberFormat="1" applyFont="1" applyFill="1" applyBorder="1"/>
    <xf numFmtId="164" fontId="41" fillId="18" borderId="0" xfId="2" applyNumberFormat="1" applyFont="1" applyFill="1"/>
    <xf numFmtId="164" fontId="3" fillId="17" borderId="0" xfId="2" applyNumberFormat="1" applyFill="1" applyBorder="1"/>
    <xf numFmtId="0" fontId="42" fillId="14" borderId="9" xfId="2" applyFont="1" applyFill="1" applyBorder="1" applyAlignment="1">
      <alignment horizontal="right"/>
    </xf>
    <xf numFmtId="166" fontId="43" fillId="2" borderId="0" xfId="3" applyNumberFormat="1" applyFont="1" applyFill="1" applyBorder="1"/>
    <xf numFmtId="164" fontId="44" fillId="16" borderId="0" xfId="2" applyNumberFormat="1" applyFont="1" applyFill="1" applyBorder="1"/>
    <xf numFmtId="166" fontId="43" fillId="3" borderId="0" xfId="3" applyNumberFormat="1" applyFont="1" applyFill="1" applyBorder="1"/>
    <xf numFmtId="164" fontId="44" fillId="3" borderId="10" xfId="2" applyNumberFormat="1" applyFont="1" applyFill="1" applyBorder="1"/>
    <xf numFmtId="0" fontId="42" fillId="4" borderId="5" xfId="2" applyFont="1" applyFill="1" applyBorder="1" applyAlignment="1">
      <alignment horizontal="right"/>
    </xf>
    <xf numFmtId="164" fontId="42" fillId="2" borderId="5" xfId="2" applyNumberFormat="1" applyFont="1" applyFill="1" applyBorder="1"/>
    <xf numFmtId="166" fontId="43" fillId="2" borderId="5" xfId="3" applyNumberFormat="1" applyFont="1" applyFill="1" applyBorder="1"/>
    <xf numFmtId="165" fontId="42" fillId="3" borderId="5" xfId="2" applyNumberFormat="1" applyFont="1" applyFill="1" applyBorder="1"/>
    <xf numFmtId="166" fontId="14" fillId="3" borderId="0" xfId="3" applyNumberFormat="1" applyFont="1" applyFill="1" applyBorder="1"/>
    <xf numFmtId="164" fontId="38" fillId="15" borderId="14" xfId="2" applyNumberFormat="1" applyFont="1" applyFill="1" applyBorder="1"/>
    <xf numFmtId="164" fontId="4" fillId="3" borderId="0" xfId="2" applyNumberFormat="1" applyFont="1" applyFill="1" applyBorder="1"/>
    <xf numFmtId="10" fontId="3" fillId="0" borderId="9" xfId="1" applyNumberFormat="1" applyFont="1" applyBorder="1"/>
    <xf numFmtId="10" fontId="3" fillId="0" borderId="10" xfId="1" applyNumberFormat="1" applyFont="1" applyBorder="1"/>
    <xf numFmtId="0" fontId="3" fillId="0" borderId="0" xfId="2" applyBorder="1"/>
    <xf numFmtId="164" fontId="37" fillId="0" borderId="17" xfId="2" applyNumberFormat="1" applyFont="1" applyBorder="1"/>
    <xf numFmtId="0" fontId="4" fillId="0" borderId="0" xfId="2" applyFont="1" applyBorder="1" applyAlignment="1">
      <alignment horizontal="center"/>
    </xf>
    <xf numFmtId="164" fontId="38" fillId="15" borderId="13" xfId="2" applyNumberFormat="1" applyFont="1" applyFill="1" applyBorder="1"/>
    <xf numFmtId="10" fontId="38" fillId="0" borderId="5" xfId="1" applyNumberFormat="1" applyFont="1" applyBorder="1"/>
    <xf numFmtId="164" fontId="45" fillId="15" borderId="13" xfId="2" applyNumberFormat="1" applyFont="1" applyFill="1" applyBorder="1"/>
    <xf numFmtId="10" fontId="3" fillId="0" borderId="5" xfId="1" applyNumberFormat="1" applyFont="1" applyBorder="1"/>
    <xf numFmtId="0" fontId="3" fillId="0" borderId="5" xfId="2" applyBorder="1"/>
    <xf numFmtId="0" fontId="4" fillId="0" borderId="5" xfId="2" applyFont="1" applyBorder="1" applyAlignment="1">
      <alignment horizontal="center"/>
    </xf>
    <xf numFmtId="0" fontId="4" fillId="3" borderId="13" xfId="2" applyFont="1" applyFill="1" applyBorder="1" applyAlignment="1">
      <alignment horizontal="center"/>
    </xf>
    <xf numFmtId="0" fontId="4" fillId="3" borderId="14" xfId="2" applyFont="1" applyFill="1" applyBorder="1" applyAlignment="1">
      <alignment horizontal="center"/>
    </xf>
    <xf numFmtId="9" fontId="3" fillId="3" borderId="0" xfId="3" applyFont="1" applyFill="1" applyBorder="1" applyAlignment="1">
      <alignment horizontal="center"/>
    </xf>
    <xf numFmtId="0" fontId="4" fillId="3" borderId="10" xfId="2" applyFont="1" applyFill="1" applyBorder="1" applyAlignment="1">
      <alignment horizontal="center"/>
    </xf>
    <xf numFmtId="0" fontId="4" fillId="2" borderId="9" xfId="2" applyFont="1" applyFill="1" applyBorder="1" applyAlignment="1">
      <alignment horizontal="center"/>
    </xf>
    <xf numFmtId="0" fontId="4" fillId="2" borderId="0" xfId="2" applyFont="1" applyFill="1" applyBorder="1" applyAlignment="1">
      <alignment horizontal="center"/>
    </xf>
    <xf numFmtId="165" fontId="3" fillId="2" borderId="9" xfId="2" applyNumberFormat="1" applyFill="1" applyBorder="1"/>
    <xf numFmtId="164" fontId="41" fillId="18" borderId="0" xfId="2" applyNumberFormat="1" applyFont="1" applyFill="1" applyBorder="1"/>
    <xf numFmtId="164" fontId="6" fillId="17" borderId="0" xfId="2" applyNumberFormat="1" applyFont="1" applyFill="1" applyBorder="1"/>
    <xf numFmtId="165" fontId="8" fillId="3" borderId="0" xfId="2" applyNumberFormat="1" applyFont="1" applyFill="1" applyBorder="1"/>
    <xf numFmtId="164" fontId="7" fillId="3" borderId="10" xfId="2" applyNumberFormat="1" applyFont="1" applyFill="1" applyBorder="1"/>
    <xf numFmtId="164" fontId="7" fillId="2" borderId="0" xfId="2" applyNumberFormat="1" applyFont="1" applyFill="1" applyBorder="1"/>
    <xf numFmtId="0" fontId="3" fillId="0" borderId="9" xfId="2" applyBorder="1"/>
    <xf numFmtId="164" fontId="3" fillId="5" borderId="18" xfId="2" applyNumberFormat="1" applyFill="1" applyBorder="1"/>
    <xf numFmtId="164" fontId="3" fillId="2" borderId="9" xfId="2" applyNumberFormat="1" applyFill="1" applyBorder="1"/>
    <xf numFmtId="164" fontId="42" fillId="2" borderId="9" xfId="2" applyNumberFormat="1" applyFont="1" applyFill="1" applyBorder="1"/>
    <xf numFmtId="164" fontId="3" fillId="5" borderId="3" xfId="2" applyNumberFormat="1" applyFill="1" applyBorder="1"/>
    <xf numFmtId="164" fontId="3" fillId="2" borderId="21" xfId="2" applyNumberFormat="1" applyFill="1" applyBorder="1"/>
    <xf numFmtId="164" fontId="38" fillId="2" borderId="9" xfId="2" applyNumberFormat="1" applyFont="1" applyFill="1" applyBorder="1"/>
    <xf numFmtId="164" fontId="3" fillId="2" borderId="16" xfId="2" applyNumberFormat="1" applyFill="1" applyBorder="1"/>
    <xf numFmtId="164" fontId="42" fillId="2" borderId="16" xfId="2" applyNumberFormat="1" applyFont="1" applyFill="1" applyBorder="1"/>
    <xf numFmtId="10" fontId="3" fillId="0" borderId="0" xfId="1" applyNumberFormat="1" applyFont="1" applyBorder="1"/>
    <xf numFmtId="0" fontId="3" fillId="0" borderId="11" xfId="2" applyBorder="1"/>
    <xf numFmtId="0" fontId="3" fillId="0" borderId="9" xfId="2" applyBorder="1" applyAlignment="1">
      <alignment horizontal="right"/>
    </xf>
    <xf numFmtId="0" fontId="38" fillId="0" borderId="9" xfId="2" applyFont="1" applyBorder="1" applyAlignment="1">
      <alignment horizontal="right"/>
    </xf>
    <xf numFmtId="0" fontId="42" fillId="4" borderId="16" xfId="2" applyFont="1" applyFill="1" applyBorder="1" applyAlignment="1">
      <alignment horizontal="right"/>
    </xf>
    <xf numFmtId="164" fontId="45" fillId="19" borderId="13" xfId="2" applyNumberFormat="1" applyFont="1" applyFill="1" applyBorder="1"/>
    <xf numFmtId="164" fontId="38" fillId="19" borderId="14" xfId="2" applyNumberFormat="1" applyFont="1" applyFill="1" applyBorder="1"/>
    <xf numFmtId="168" fontId="0" fillId="13" borderId="0" xfId="1" applyNumberFormat="1" applyFont="1" applyFill="1" applyBorder="1" applyAlignment="1" applyProtection="1">
      <alignment horizontal="right" vertical="center"/>
    </xf>
    <xf numFmtId="168" fontId="0" fillId="13" borderId="9" xfId="1" applyNumberFormat="1" applyFont="1" applyFill="1" applyBorder="1" applyAlignment="1" applyProtection="1">
      <alignment horizontal="right" vertical="center"/>
    </xf>
    <xf numFmtId="168" fontId="1" fillId="13" borderId="10" xfId="1" applyNumberFormat="1" applyFont="1" applyFill="1" applyBorder="1" applyAlignment="1" applyProtection="1">
      <alignment horizontal="right" vertical="center"/>
    </xf>
    <xf numFmtId="164" fontId="45" fillId="19" borderId="11" xfId="2" applyNumberFormat="1" applyFont="1" applyFill="1" applyBorder="1"/>
    <xf numFmtId="164" fontId="45" fillId="19" borderId="16" xfId="2" applyNumberFormat="1" applyFont="1" applyFill="1" applyBorder="1"/>
    <xf numFmtId="164" fontId="38" fillId="19" borderId="17" xfId="2" applyNumberFormat="1" applyFont="1" applyFill="1" applyBorder="1"/>
    <xf numFmtId="0" fontId="24" fillId="9" borderId="0" xfId="0" applyFont="1" applyFill="1" applyAlignment="1">
      <alignment horizontal="center" vertical="center" wrapText="1"/>
    </xf>
    <xf numFmtId="168" fontId="29" fillId="12" borderId="3" xfId="0" applyNumberFormat="1" applyFont="1" applyFill="1" applyBorder="1"/>
    <xf numFmtId="168" fontId="29" fillId="12" borderId="4" xfId="0" applyNumberFormat="1" applyFont="1" applyFill="1" applyBorder="1"/>
    <xf numFmtId="168" fontId="22" fillId="12" borderId="15" xfId="0" applyNumberFormat="1" applyFont="1" applyFill="1" applyBorder="1"/>
    <xf numFmtId="168" fontId="16" fillId="6" borderId="17" xfId="0" applyNumberFormat="1" applyFont="1" applyFill="1" applyBorder="1"/>
    <xf numFmtId="168" fontId="16" fillId="6" borderId="11" xfId="0" applyNumberFormat="1" applyFont="1" applyFill="1" applyBorder="1"/>
    <xf numFmtId="168" fontId="16" fillId="6" borderId="13" xfId="0" applyNumberFormat="1" applyFont="1" applyFill="1" applyBorder="1"/>
    <xf numFmtId="168" fontId="16" fillId="6" borderId="14" xfId="0" applyNumberFormat="1" applyFont="1" applyFill="1" applyBorder="1"/>
    <xf numFmtId="168" fontId="16" fillId="6" borderId="16" xfId="0" applyNumberFormat="1" applyFont="1" applyFill="1" applyBorder="1"/>
    <xf numFmtId="168" fontId="16" fillId="6" borderId="5" xfId="0" applyNumberFormat="1" applyFont="1" applyFill="1" applyBorder="1"/>
    <xf numFmtId="168" fontId="13" fillId="12" borderId="4" xfId="0" applyNumberFormat="1" applyFont="1" applyFill="1" applyBorder="1"/>
    <xf numFmtId="168" fontId="12" fillId="12" borderId="15" xfId="0" applyNumberFormat="1" applyFont="1" applyFill="1" applyBorder="1"/>
    <xf numFmtId="168" fontId="13" fillId="12" borderId="3" xfId="0" applyNumberFormat="1" applyFont="1" applyFill="1" applyBorder="1"/>
    <xf numFmtId="0" fontId="24" fillId="6" borderId="0" xfId="0" applyFont="1" applyFill="1" applyAlignment="1">
      <alignment horizontal="center" vertical="center" wrapText="1"/>
    </xf>
    <xf numFmtId="0" fontId="46" fillId="6" borderId="10" xfId="0" applyFont="1" applyFill="1" applyBorder="1" applyAlignment="1">
      <alignment horizontal="center" vertical="center" wrapText="1"/>
    </xf>
    <xf numFmtId="0" fontId="24" fillId="6" borderId="9"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10" xfId="0" applyFont="1" applyFill="1" applyBorder="1" applyAlignment="1">
      <alignment horizontal="center" vertical="center" wrapText="1"/>
    </xf>
    <xf numFmtId="168" fontId="12" fillId="13" borderId="10" xfId="1" applyNumberFormat="1" applyFont="1" applyFill="1" applyBorder="1" applyAlignment="1" applyProtection="1">
      <alignment horizontal="right" vertical="center"/>
    </xf>
    <xf numFmtId="0" fontId="15" fillId="10" borderId="9" xfId="0" applyFont="1" applyFill="1" applyBorder="1"/>
    <xf numFmtId="168" fontId="17" fillId="10" borderId="10" xfId="0" applyNumberFormat="1" applyFont="1" applyFill="1" applyBorder="1"/>
    <xf numFmtId="0" fontId="15" fillId="10" borderId="16" xfId="0" applyFont="1" applyFill="1" applyBorder="1"/>
    <xf numFmtId="168" fontId="17" fillId="10" borderId="17" xfId="0" applyNumberFormat="1" applyFont="1" applyFill="1" applyBorder="1"/>
    <xf numFmtId="164" fontId="37" fillId="2" borderId="16" xfId="2" applyNumberFormat="1" applyFont="1" applyFill="1" applyBorder="1"/>
    <xf numFmtId="0" fontId="13" fillId="7" borderId="0" xfId="0" applyFont="1" applyFill="1" applyAlignment="1">
      <alignment horizontal="left" vertical="center"/>
    </xf>
    <xf numFmtId="0" fontId="47" fillId="22" borderId="9" xfId="2" applyFont="1" applyFill="1" applyBorder="1" applyAlignment="1">
      <alignment horizontal="right"/>
    </xf>
    <xf numFmtId="164" fontId="47" fillId="23" borderId="0" xfId="2" applyNumberFormat="1" applyFont="1" applyFill="1" applyBorder="1"/>
    <xf numFmtId="164" fontId="48" fillId="23" borderId="0" xfId="2" applyNumberFormat="1" applyFont="1" applyFill="1" applyBorder="1"/>
    <xf numFmtId="164" fontId="48" fillId="24" borderId="10" xfId="2" applyNumberFormat="1" applyFont="1" applyFill="1" applyBorder="1"/>
    <xf numFmtId="166" fontId="2" fillId="24" borderId="0" xfId="3" applyNumberFormat="1" applyFont="1" applyFill="1" applyBorder="1"/>
    <xf numFmtId="167" fontId="9" fillId="6" borderId="4" xfId="5" applyFont="1" applyFill="1" applyBorder="1" applyAlignment="1">
      <alignment horizontal="center" vertical="center"/>
    </xf>
    <xf numFmtId="0" fontId="4" fillId="0" borderId="13" xfId="2" applyFont="1" applyBorder="1" applyAlignment="1">
      <alignment horizontal="center"/>
    </xf>
    <xf numFmtId="0" fontId="4" fillId="0" borderId="14" xfId="2" applyFont="1" applyBorder="1" applyAlignment="1">
      <alignment horizontal="center"/>
    </xf>
    <xf numFmtId="0" fontId="4" fillId="3" borderId="0" xfId="2" applyFont="1" applyFill="1" applyBorder="1" applyAlignment="1">
      <alignment horizontal="center"/>
    </xf>
    <xf numFmtId="168" fontId="15" fillId="10" borderId="9" xfId="0" applyNumberFormat="1" applyFont="1" applyFill="1" applyBorder="1"/>
    <xf numFmtId="10" fontId="0" fillId="0" borderId="0" xfId="0" applyNumberFormat="1"/>
    <xf numFmtId="164" fontId="50" fillId="18" borderId="0" xfId="2" applyNumberFormat="1" applyFont="1" applyFill="1" applyBorder="1"/>
    <xf numFmtId="164" fontId="8" fillId="17" borderId="0" xfId="2" applyNumberFormat="1" applyFont="1" applyFill="1" applyBorder="1"/>
    <xf numFmtId="0" fontId="0" fillId="7" borderId="16" xfId="0" applyFill="1" applyBorder="1" applyAlignment="1">
      <alignment horizontal="center" vertical="center"/>
    </xf>
    <xf numFmtId="0" fontId="7" fillId="0" borderId="0" xfId="2" applyFont="1" applyAlignment="1">
      <alignment horizontal="right"/>
    </xf>
    <xf numFmtId="10" fontId="36" fillId="0" borderId="0" xfId="2" applyNumberFormat="1" applyFont="1"/>
    <xf numFmtId="165" fontId="4" fillId="25" borderId="9" xfId="2" applyNumberFormat="1" applyFont="1" applyFill="1" applyBorder="1" applyAlignment="1">
      <alignment horizontal="center"/>
    </xf>
    <xf numFmtId="10" fontId="3" fillId="25" borderId="9" xfId="1" applyNumberFormat="1" applyFont="1" applyFill="1" applyBorder="1" applyAlignment="1">
      <alignment horizontal="center"/>
    </xf>
    <xf numFmtId="0" fontId="3" fillId="26" borderId="0" xfId="2" applyFill="1"/>
    <xf numFmtId="164" fontId="3" fillId="17" borderId="22" xfId="2" applyNumberFormat="1" applyFill="1" applyBorder="1"/>
    <xf numFmtId="164" fontId="3" fillId="17" borderId="21" xfId="2" applyNumberFormat="1" applyFill="1" applyBorder="1"/>
    <xf numFmtId="0" fontId="38" fillId="14" borderId="9" xfId="2" applyFont="1" applyFill="1" applyBorder="1" applyAlignment="1">
      <alignment horizontal="right"/>
    </xf>
    <xf numFmtId="164" fontId="37" fillId="16" borderId="0" xfId="2" applyNumberFormat="1" applyFont="1" applyFill="1" applyBorder="1"/>
    <xf numFmtId="164" fontId="37" fillId="3" borderId="10" xfId="2" applyNumberFormat="1" applyFont="1" applyFill="1" applyBorder="1"/>
    <xf numFmtId="0" fontId="52" fillId="26" borderId="0" xfId="2" applyFont="1" applyFill="1"/>
    <xf numFmtId="164" fontId="36" fillId="15" borderId="13" xfId="2" applyNumberFormat="1" applyFont="1" applyFill="1" applyBorder="1"/>
    <xf numFmtId="10" fontId="36" fillId="0" borderId="5" xfId="1" applyNumberFormat="1" applyFont="1" applyBorder="1"/>
    <xf numFmtId="164" fontId="45" fillId="19" borderId="5" xfId="2" applyNumberFormat="1" applyFont="1" applyFill="1" applyBorder="1"/>
    <xf numFmtId="9" fontId="3" fillId="3" borderId="13" xfId="3" applyFont="1" applyFill="1" applyBorder="1" applyAlignment="1">
      <alignment horizontal="center"/>
    </xf>
    <xf numFmtId="164" fontId="47" fillId="23" borderId="9" xfId="2" applyNumberFormat="1" applyFont="1" applyFill="1" applyBorder="1"/>
    <xf numFmtId="168" fontId="0" fillId="13" borderId="11" xfId="1" applyNumberFormat="1" applyFont="1" applyFill="1" applyBorder="1" applyAlignment="1" applyProtection="1">
      <alignment horizontal="right" vertical="center"/>
    </xf>
    <xf numFmtId="168" fontId="12" fillId="13" borderId="14" xfId="1" applyNumberFormat="1" applyFont="1" applyFill="1" applyBorder="1" applyAlignment="1" applyProtection="1">
      <alignment horizontal="right" vertical="center"/>
    </xf>
    <xf numFmtId="168" fontId="0" fillId="13" borderId="13" xfId="1" applyNumberFormat="1" applyFont="1" applyFill="1" applyBorder="1" applyAlignment="1" applyProtection="1">
      <alignment horizontal="right" vertical="center"/>
    </xf>
    <xf numFmtId="168" fontId="1" fillId="13" borderId="14" xfId="1" applyNumberFormat="1" applyFont="1" applyFill="1" applyBorder="1" applyAlignment="1" applyProtection="1">
      <alignment horizontal="right" vertical="center"/>
    </xf>
    <xf numFmtId="168" fontId="0" fillId="13" borderId="16" xfId="1" applyNumberFormat="1" applyFont="1" applyFill="1" applyBorder="1" applyAlignment="1" applyProtection="1">
      <alignment horizontal="right" vertical="center"/>
    </xf>
    <xf numFmtId="168" fontId="12" fillId="13" borderId="17" xfId="1" applyNumberFormat="1" applyFont="1" applyFill="1" applyBorder="1" applyAlignment="1" applyProtection="1">
      <alignment horizontal="right" vertical="center"/>
    </xf>
    <xf numFmtId="168" fontId="0" fillId="13" borderId="5" xfId="1" applyNumberFormat="1" applyFont="1" applyFill="1" applyBorder="1" applyAlignment="1" applyProtection="1">
      <alignment horizontal="right" vertical="center"/>
    </xf>
    <xf numFmtId="168" fontId="1" fillId="13" borderId="17" xfId="1" applyNumberFormat="1" applyFont="1" applyFill="1" applyBorder="1" applyAlignment="1" applyProtection="1">
      <alignment horizontal="right" vertical="center"/>
    </xf>
    <xf numFmtId="168" fontId="0" fillId="13" borderId="0" xfId="1" quotePrefix="1" applyNumberFormat="1" applyFont="1" applyFill="1" applyBorder="1" applyAlignment="1" applyProtection="1">
      <alignment horizontal="right" vertical="center"/>
    </xf>
    <xf numFmtId="0" fontId="0" fillId="7" borderId="3" xfId="0" applyFill="1" applyBorder="1" applyAlignment="1">
      <alignment horizontal="center"/>
    </xf>
    <xf numFmtId="168" fontId="0" fillId="13" borderId="3" xfId="1" applyNumberFormat="1" applyFont="1" applyFill="1" applyBorder="1" applyAlignment="1" applyProtection="1">
      <alignment horizontal="right" vertical="center"/>
    </xf>
    <xf numFmtId="168" fontId="12" fillId="13" borderId="15" xfId="1" applyNumberFormat="1" applyFont="1" applyFill="1" applyBorder="1" applyAlignment="1" applyProtection="1">
      <alignment horizontal="right" vertical="center"/>
    </xf>
    <xf numFmtId="168" fontId="0" fillId="13" borderId="4" xfId="1" applyNumberFormat="1" applyFont="1" applyFill="1" applyBorder="1" applyAlignment="1" applyProtection="1">
      <alignment horizontal="right" vertical="center"/>
    </xf>
    <xf numFmtId="168" fontId="1" fillId="13" borderId="15" xfId="1" applyNumberFormat="1" applyFont="1" applyFill="1" applyBorder="1" applyAlignment="1" applyProtection="1">
      <alignment horizontal="right" vertical="center"/>
    </xf>
    <xf numFmtId="0" fontId="0" fillId="7" borderId="26" xfId="0" applyFill="1" applyBorder="1" applyAlignment="1">
      <alignment horizontal="center" vertical="center"/>
    </xf>
    <xf numFmtId="0" fontId="16" fillId="10" borderId="0" xfId="0" applyFont="1" applyFill="1" applyAlignment="1">
      <alignment horizontal="center" vertical="center" wrapText="1"/>
    </xf>
    <xf numFmtId="0" fontId="0" fillId="28" borderId="11" xfId="0" applyFill="1" applyBorder="1" applyAlignment="1">
      <alignment horizontal="center" vertical="center"/>
    </xf>
    <xf numFmtId="0" fontId="0" fillId="29" borderId="10" xfId="0" applyFill="1" applyBorder="1"/>
    <xf numFmtId="0" fontId="0" fillId="29" borderId="14" xfId="0" applyFill="1" applyBorder="1"/>
    <xf numFmtId="0" fontId="0" fillId="29" borderId="15" xfId="0" applyFill="1" applyBorder="1" applyAlignment="1">
      <alignment horizontal="left" vertical="center" wrapText="1"/>
    </xf>
    <xf numFmtId="168" fontId="0" fillId="31" borderId="0" xfId="1" applyNumberFormat="1" applyFont="1" applyFill="1" applyBorder="1" applyAlignment="1" applyProtection="1">
      <alignment horizontal="right" vertical="center"/>
    </xf>
    <xf numFmtId="168" fontId="12" fillId="31" borderId="10" xfId="1" applyNumberFormat="1" applyFont="1" applyFill="1" applyBorder="1" applyAlignment="1" applyProtection="1">
      <alignment horizontal="right" vertical="center"/>
    </xf>
    <xf numFmtId="168" fontId="1" fillId="31" borderId="10" xfId="1" applyNumberFormat="1" applyFont="1" applyFill="1" applyBorder="1" applyAlignment="1" applyProtection="1">
      <alignment horizontal="right" vertical="center"/>
    </xf>
    <xf numFmtId="168" fontId="0" fillId="31" borderId="9" xfId="1" applyNumberFormat="1" applyFont="1" applyFill="1" applyBorder="1" applyAlignment="1" applyProtection="1">
      <alignment horizontal="right" vertical="center"/>
    </xf>
    <xf numFmtId="165" fontId="54" fillId="25" borderId="16" xfId="2" applyNumberFormat="1" applyFont="1" applyFill="1" applyBorder="1" applyAlignment="1">
      <alignment horizontal="center" vertical="center"/>
    </xf>
    <xf numFmtId="165" fontId="54" fillId="25" borderId="17" xfId="2" applyNumberFormat="1" applyFont="1" applyFill="1" applyBorder="1" applyAlignment="1">
      <alignment horizontal="center" vertical="center"/>
    </xf>
    <xf numFmtId="0" fontId="0" fillId="32" borderId="10" xfId="0" applyFill="1" applyBorder="1"/>
    <xf numFmtId="0" fontId="0" fillId="32" borderId="16" xfId="0" applyFill="1" applyBorder="1"/>
    <xf numFmtId="0" fontId="0" fillId="32" borderId="17" xfId="0" applyFill="1" applyBorder="1"/>
    <xf numFmtId="165" fontId="3" fillId="2" borderId="9" xfId="2" applyNumberFormat="1" applyFill="1" applyBorder="1" applyAlignment="1">
      <alignment horizontal="right"/>
    </xf>
    <xf numFmtId="168" fontId="0" fillId="7" borderId="0" xfId="1" applyNumberFormat="1" applyFont="1" applyFill="1" applyBorder="1" applyAlignment="1" applyProtection="1">
      <alignment horizontal="right" vertical="center"/>
    </xf>
    <xf numFmtId="168" fontId="0" fillId="7" borderId="0" xfId="1" quotePrefix="1" applyNumberFormat="1" applyFont="1" applyFill="1" applyBorder="1" applyAlignment="1" applyProtection="1">
      <alignment horizontal="right" vertical="center"/>
    </xf>
    <xf numFmtId="168" fontId="1" fillId="7" borderId="10" xfId="1" applyNumberFormat="1" applyFont="1" applyFill="1" applyBorder="1" applyAlignment="1" applyProtection="1">
      <alignment horizontal="right" vertical="center"/>
    </xf>
    <xf numFmtId="168" fontId="0" fillId="7" borderId="11" xfId="1" applyNumberFormat="1" applyFont="1" applyFill="1" applyBorder="1" applyAlignment="1" applyProtection="1">
      <alignment horizontal="right" vertical="center"/>
    </xf>
    <xf numFmtId="168" fontId="0" fillId="7" borderId="13" xfId="1" applyNumberFormat="1" applyFont="1" applyFill="1" applyBorder="1" applyAlignment="1" applyProtection="1">
      <alignment horizontal="right" vertical="center"/>
    </xf>
    <xf numFmtId="168" fontId="1" fillId="7" borderId="14" xfId="1" applyNumberFormat="1" applyFont="1" applyFill="1" applyBorder="1" applyAlignment="1" applyProtection="1">
      <alignment horizontal="right" vertical="center"/>
    </xf>
    <xf numFmtId="168" fontId="0" fillId="7" borderId="16" xfId="1" applyNumberFormat="1" applyFont="1" applyFill="1" applyBorder="1" applyAlignment="1" applyProtection="1">
      <alignment horizontal="right" vertical="center"/>
    </xf>
    <xf numFmtId="168" fontId="0" fillId="7" borderId="5" xfId="1" applyNumberFormat="1" applyFont="1" applyFill="1" applyBorder="1" applyAlignment="1" applyProtection="1">
      <alignment horizontal="right" vertical="center"/>
    </xf>
    <xf numFmtId="168" fontId="1" fillId="7" borderId="17" xfId="1" applyNumberFormat="1" applyFont="1" applyFill="1" applyBorder="1" applyAlignment="1" applyProtection="1">
      <alignment horizontal="right" vertical="center"/>
    </xf>
    <xf numFmtId="168" fontId="0" fillId="7" borderId="4" xfId="1" applyNumberFormat="1" applyFont="1" applyFill="1" applyBorder="1" applyAlignment="1" applyProtection="1">
      <alignment horizontal="right" vertical="center"/>
    </xf>
    <xf numFmtId="168" fontId="1" fillId="7" borderId="15" xfId="1" applyNumberFormat="1" applyFont="1" applyFill="1" applyBorder="1" applyAlignment="1" applyProtection="1">
      <alignment horizontal="right" vertical="center"/>
    </xf>
    <xf numFmtId="164" fontId="45" fillId="19" borderId="3" xfId="2" applyNumberFormat="1" applyFont="1" applyFill="1" applyBorder="1"/>
    <xf numFmtId="164" fontId="38" fillId="19" borderId="15" xfId="2" applyNumberFormat="1" applyFont="1" applyFill="1" applyBorder="1"/>
    <xf numFmtId="0" fontId="24" fillId="21" borderId="16" xfId="0" applyFont="1" applyFill="1" applyBorder="1" applyAlignment="1">
      <alignment horizontal="center" vertical="center" wrapText="1"/>
    </xf>
    <xf numFmtId="0" fontId="24" fillId="21" borderId="5" xfId="0" applyFont="1" applyFill="1" applyBorder="1" applyAlignment="1">
      <alignment horizontal="center" vertical="center" wrapText="1"/>
    </xf>
    <xf numFmtId="0" fontId="46" fillId="21" borderId="17" xfId="0" applyFont="1" applyFill="1" applyBorder="1" applyAlignment="1">
      <alignment horizontal="center" vertical="center" wrapText="1"/>
    </xf>
    <xf numFmtId="167" fontId="9" fillId="6" borderId="15" xfId="5" applyFont="1" applyFill="1" applyBorder="1" applyAlignment="1">
      <alignment vertical="center"/>
    </xf>
    <xf numFmtId="0" fontId="24" fillId="6" borderId="10" xfId="0" applyFont="1" applyFill="1" applyBorder="1" applyAlignment="1">
      <alignment horizontal="center" vertical="center" wrapText="1"/>
    </xf>
    <xf numFmtId="168" fontId="0" fillId="31" borderId="13" xfId="1" applyNumberFormat="1" applyFont="1" applyFill="1" applyBorder="1" applyAlignment="1" applyProtection="1">
      <alignment horizontal="right" vertical="center"/>
    </xf>
    <xf numFmtId="168" fontId="12" fillId="31" borderId="14" xfId="1" applyNumberFormat="1" applyFont="1" applyFill="1" applyBorder="1" applyAlignment="1" applyProtection="1">
      <alignment horizontal="right" vertical="center"/>
    </xf>
    <xf numFmtId="168" fontId="0" fillId="31" borderId="11" xfId="1" applyNumberFormat="1" applyFont="1" applyFill="1" applyBorder="1" applyAlignment="1" applyProtection="1">
      <alignment horizontal="right" vertical="center"/>
    </xf>
    <xf numFmtId="168" fontId="13" fillId="31" borderId="13" xfId="1" applyNumberFormat="1" applyFont="1" applyFill="1" applyBorder="1" applyAlignment="1" applyProtection="1">
      <alignment horizontal="right" vertical="center"/>
    </xf>
    <xf numFmtId="168" fontId="13" fillId="31" borderId="28" xfId="1" applyNumberFormat="1" applyFont="1" applyFill="1" applyBorder="1" applyAlignment="1" applyProtection="1">
      <alignment horizontal="right" vertical="center"/>
    </xf>
    <xf numFmtId="168" fontId="2" fillId="13" borderId="5" xfId="1" applyNumberFormat="1" applyFont="1" applyFill="1" applyBorder="1" applyAlignment="1" applyProtection="1">
      <alignment horizontal="right" vertical="center"/>
    </xf>
    <xf numFmtId="168" fontId="13" fillId="13" borderId="29" xfId="1" applyNumberFormat="1" applyFont="1" applyFill="1" applyBorder="1" applyAlignment="1" applyProtection="1">
      <alignment horizontal="right" vertical="center"/>
    </xf>
    <xf numFmtId="0" fontId="0" fillId="30" borderId="14" xfId="0" applyFill="1" applyBorder="1"/>
    <xf numFmtId="0" fontId="0" fillId="29" borderId="17" xfId="0" applyFill="1" applyBorder="1"/>
    <xf numFmtId="168" fontId="13" fillId="7" borderId="29" xfId="1" applyNumberFormat="1" applyFont="1" applyFill="1" applyBorder="1" applyAlignment="1" applyProtection="1">
      <alignment horizontal="right" vertical="center"/>
    </xf>
    <xf numFmtId="168" fontId="12" fillId="7" borderId="28" xfId="1" applyNumberFormat="1" applyFont="1" applyFill="1" applyBorder="1" applyAlignment="1" applyProtection="1">
      <alignment horizontal="right" vertical="center"/>
    </xf>
    <xf numFmtId="168" fontId="12" fillId="7" borderId="29" xfId="1" applyNumberFormat="1" applyFont="1" applyFill="1" applyBorder="1" applyAlignment="1" applyProtection="1">
      <alignment horizontal="right" vertical="center"/>
    </xf>
    <xf numFmtId="168" fontId="12" fillId="7" borderId="27" xfId="1" applyNumberFormat="1" applyFont="1" applyFill="1" applyBorder="1" applyAlignment="1" applyProtection="1">
      <alignment horizontal="right" vertical="center"/>
    </xf>
    <xf numFmtId="168" fontId="2" fillId="31" borderId="13" xfId="1" applyNumberFormat="1" applyFont="1" applyFill="1" applyBorder="1" applyAlignment="1" applyProtection="1">
      <alignment horizontal="right" vertical="center"/>
    </xf>
    <xf numFmtId="168" fontId="13" fillId="28" borderId="30" xfId="1" applyNumberFormat="1" applyFont="1" applyFill="1" applyBorder="1" applyAlignment="1" applyProtection="1">
      <alignment horizontal="right" vertical="center"/>
    </xf>
    <xf numFmtId="0" fontId="56" fillId="22" borderId="9" xfId="2" applyFont="1" applyFill="1" applyBorder="1" applyAlignment="1">
      <alignment horizontal="right"/>
    </xf>
    <xf numFmtId="10" fontId="0" fillId="0" borderId="0" xfId="1" applyNumberFormat="1" applyFont="1" applyAlignment="1">
      <alignment horizontal="left"/>
    </xf>
    <xf numFmtId="168" fontId="0" fillId="0" borderId="0" xfId="0" applyNumberFormat="1"/>
    <xf numFmtId="168" fontId="29" fillId="0" borderId="0" xfId="0" applyNumberFormat="1" applyFont="1"/>
    <xf numFmtId="10" fontId="29" fillId="0" borderId="0" xfId="1" applyNumberFormat="1" applyFont="1"/>
    <xf numFmtId="0" fontId="0" fillId="7" borderId="0" xfId="0" applyFill="1" applyAlignment="1">
      <alignment horizontal="center" vertical="center"/>
    </xf>
    <xf numFmtId="0" fontId="0" fillId="7" borderId="0" xfId="0" applyFill="1" applyAlignment="1">
      <alignment horizontal="center"/>
    </xf>
    <xf numFmtId="0" fontId="0" fillId="29" borderId="0" xfId="0" applyFill="1" applyAlignment="1">
      <alignment horizontal="left" vertical="center" wrapText="1"/>
    </xf>
    <xf numFmtId="165" fontId="54" fillId="25" borderId="9" xfId="2" applyNumberFormat="1" applyFont="1" applyFill="1" applyBorder="1" applyAlignment="1">
      <alignment horizontal="center" vertical="center"/>
    </xf>
    <xf numFmtId="168" fontId="0" fillId="33" borderId="13" xfId="1" applyNumberFormat="1" applyFont="1" applyFill="1" applyBorder="1" applyAlignment="1" applyProtection="1">
      <alignment horizontal="right" vertical="center"/>
    </xf>
    <xf numFmtId="168" fontId="12" fillId="33" borderId="14" xfId="1" applyNumberFormat="1" applyFont="1" applyFill="1" applyBorder="1" applyAlignment="1" applyProtection="1">
      <alignment horizontal="right" vertical="center"/>
    </xf>
    <xf numFmtId="168" fontId="0" fillId="12" borderId="5" xfId="1" applyNumberFormat="1" applyFont="1" applyFill="1" applyBorder="1" applyAlignment="1" applyProtection="1">
      <alignment horizontal="right" vertical="center"/>
    </xf>
    <xf numFmtId="168" fontId="12" fillId="12" borderId="17" xfId="1" applyNumberFormat="1" applyFont="1" applyFill="1" applyBorder="1" applyAlignment="1" applyProtection="1">
      <alignment horizontal="right" vertical="center"/>
    </xf>
    <xf numFmtId="168" fontId="0" fillId="12" borderId="13" xfId="1" applyNumberFormat="1" applyFont="1" applyFill="1" applyBorder="1" applyAlignment="1" applyProtection="1">
      <alignment horizontal="right" vertical="center"/>
    </xf>
    <xf numFmtId="168" fontId="12" fillId="12" borderId="14" xfId="1" applyNumberFormat="1" applyFont="1" applyFill="1" applyBorder="1" applyAlignment="1" applyProtection="1">
      <alignment horizontal="right" vertical="center"/>
    </xf>
    <xf numFmtId="168" fontId="0" fillId="12" borderId="4" xfId="1" applyNumberFormat="1" applyFont="1" applyFill="1" applyBorder="1" applyAlignment="1" applyProtection="1">
      <alignment horizontal="right" vertical="center"/>
    </xf>
    <xf numFmtId="168" fontId="12" fillId="12" borderId="15" xfId="1" applyNumberFormat="1" applyFont="1" applyFill="1" applyBorder="1" applyAlignment="1" applyProtection="1">
      <alignment horizontal="right" vertical="center"/>
    </xf>
    <xf numFmtId="0" fontId="24" fillId="20" borderId="9" xfId="0" applyFont="1" applyFill="1" applyBorder="1" applyAlignment="1">
      <alignment horizontal="center" vertical="center" wrapText="1"/>
    </xf>
    <xf numFmtId="0" fontId="24" fillId="20" borderId="0" xfId="0" applyFont="1" applyFill="1" applyAlignment="1">
      <alignment horizontal="center" vertical="center" wrapText="1"/>
    </xf>
    <xf numFmtId="0" fontId="46" fillId="20" borderId="10" xfId="0" applyFont="1" applyFill="1" applyBorder="1" applyAlignment="1">
      <alignment horizontal="center" vertical="center" wrapText="1"/>
    </xf>
    <xf numFmtId="168" fontId="17" fillId="20" borderId="11" xfId="0" applyNumberFormat="1" applyFont="1" applyFill="1" applyBorder="1"/>
    <xf numFmtId="168" fontId="17" fillId="20" borderId="13" xfId="0" applyNumberFormat="1" applyFont="1" applyFill="1" applyBorder="1"/>
    <xf numFmtId="168" fontId="17" fillId="20" borderId="14" xfId="0" applyNumberFormat="1" applyFont="1" applyFill="1" applyBorder="1"/>
    <xf numFmtId="168" fontId="17" fillId="20" borderId="16" xfId="0" applyNumberFormat="1" applyFont="1" applyFill="1" applyBorder="1"/>
    <xf numFmtId="168" fontId="17" fillId="20" borderId="5" xfId="0" applyNumberFormat="1" applyFont="1" applyFill="1" applyBorder="1"/>
    <xf numFmtId="168" fontId="17" fillId="20" borderId="17" xfId="0" applyNumberFormat="1" applyFont="1" applyFill="1" applyBorder="1"/>
    <xf numFmtId="0" fontId="46" fillId="20" borderId="0" xfId="0" applyFont="1" applyFill="1" applyAlignment="1">
      <alignment horizontal="center" vertical="center" wrapText="1"/>
    </xf>
    <xf numFmtId="168" fontId="46" fillId="20" borderId="13" xfId="0" applyNumberFormat="1" applyFont="1" applyFill="1" applyBorder="1"/>
    <xf numFmtId="0" fontId="19" fillId="7" borderId="0" xfId="0" applyFont="1" applyFill="1" applyAlignment="1">
      <alignment horizontal="center" wrapText="1"/>
    </xf>
    <xf numFmtId="0" fontId="24" fillId="9" borderId="16" xfId="0" applyFont="1" applyFill="1" applyBorder="1" applyAlignment="1">
      <alignment horizontal="center" vertical="center" wrapText="1"/>
    </xf>
    <xf numFmtId="0" fontId="24" fillId="9" borderId="17" xfId="0" applyFont="1" applyFill="1" applyBorder="1" applyAlignment="1">
      <alignment horizontal="center" vertical="center" wrapText="1"/>
    </xf>
    <xf numFmtId="168" fontId="1" fillId="31" borderId="14" xfId="1" applyNumberFormat="1" applyFont="1" applyFill="1" applyBorder="1" applyAlignment="1" applyProtection="1">
      <alignment horizontal="right" vertical="center"/>
    </xf>
    <xf numFmtId="0" fontId="46" fillId="9" borderId="10" xfId="0" applyFont="1" applyFill="1" applyBorder="1" applyAlignment="1">
      <alignment horizontal="center" vertical="center" wrapText="1"/>
    </xf>
    <xf numFmtId="168" fontId="13" fillId="33" borderId="14" xfId="1" applyNumberFormat="1" applyFont="1" applyFill="1" applyBorder="1" applyAlignment="1" applyProtection="1">
      <alignment horizontal="right" vertical="center"/>
    </xf>
    <xf numFmtId="168" fontId="13" fillId="12" borderId="17" xfId="1" applyNumberFormat="1" applyFont="1" applyFill="1" applyBorder="1" applyAlignment="1" applyProtection="1">
      <alignment horizontal="right" vertical="center"/>
    </xf>
    <xf numFmtId="168" fontId="13" fillId="12" borderId="14" xfId="1" applyNumberFormat="1" applyFont="1" applyFill="1" applyBorder="1" applyAlignment="1" applyProtection="1">
      <alignment horizontal="right" vertical="center"/>
    </xf>
    <xf numFmtId="168" fontId="13" fillId="12" borderId="15" xfId="1" applyNumberFormat="1" applyFont="1" applyFill="1" applyBorder="1" applyAlignment="1" applyProtection="1">
      <alignment horizontal="right" vertical="center"/>
    </xf>
    <xf numFmtId="168" fontId="0" fillId="31" borderId="14" xfId="1" applyNumberFormat="1" applyFont="1" applyFill="1" applyBorder="1" applyAlignment="1" applyProtection="1">
      <alignment horizontal="right" vertical="center"/>
    </xf>
    <xf numFmtId="168" fontId="0" fillId="13" borderId="17" xfId="1" applyNumberFormat="1" applyFont="1" applyFill="1" applyBorder="1" applyAlignment="1" applyProtection="1">
      <alignment horizontal="right" vertical="center"/>
    </xf>
    <xf numFmtId="168" fontId="0" fillId="13" borderId="14" xfId="1" applyNumberFormat="1" applyFont="1" applyFill="1" applyBorder="1" applyAlignment="1" applyProtection="1">
      <alignment horizontal="right" vertical="center"/>
    </xf>
    <xf numFmtId="168" fontId="0" fillId="13" borderId="15" xfId="1" applyNumberFormat="1" applyFont="1" applyFill="1" applyBorder="1" applyAlignment="1" applyProtection="1">
      <alignment horizontal="right" vertical="center"/>
    </xf>
    <xf numFmtId="168" fontId="13" fillId="13" borderId="28" xfId="1" applyNumberFormat="1" applyFont="1" applyFill="1" applyBorder="1" applyAlignment="1" applyProtection="1">
      <alignment horizontal="right" vertical="center"/>
    </xf>
    <xf numFmtId="168" fontId="13" fillId="13" borderId="27" xfId="1" applyNumberFormat="1" applyFont="1" applyFill="1" applyBorder="1" applyAlignment="1" applyProtection="1">
      <alignment horizontal="right" vertical="center"/>
    </xf>
    <xf numFmtId="168" fontId="0" fillId="34" borderId="0" xfId="1" applyNumberFormat="1" applyFont="1" applyFill="1" applyBorder="1" applyAlignment="1" applyProtection="1">
      <alignment horizontal="right" vertical="center"/>
    </xf>
    <xf numFmtId="168" fontId="12" fillId="34" borderId="10" xfId="1" applyNumberFormat="1" applyFont="1" applyFill="1" applyBorder="1" applyAlignment="1" applyProtection="1">
      <alignment horizontal="right" vertical="center"/>
    </xf>
    <xf numFmtId="168" fontId="0" fillId="34" borderId="9" xfId="1" applyNumberFormat="1" applyFont="1" applyFill="1" applyBorder="1" applyAlignment="1" applyProtection="1">
      <alignment horizontal="right" vertical="center"/>
    </xf>
    <xf numFmtId="168" fontId="1" fillId="34" borderId="10" xfId="1" applyNumberFormat="1" applyFont="1" applyFill="1" applyBorder="1" applyAlignment="1" applyProtection="1">
      <alignment horizontal="right" vertical="center"/>
    </xf>
    <xf numFmtId="10" fontId="0" fillId="35" borderId="16" xfId="1" applyNumberFormat="1" applyFont="1" applyFill="1" applyBorder="1" applyAlignment="1">
      <alignment horizontal="left"/>
    </xf>
    <xf numFmtId="10" fontId="0" fillId="35" borderId="17" xfId="1" applyNumberFormat="1" applyFont="1" applyFill="1" applyBorder="1" applyAlignment="1">
      <alignment horizontal="left"/>
    </xf>
    <xf numFmtId="10" fontId="0" fillId="35" borderId="11" xfId="1" applyNumberFormat="1" applyFont="1" applyFill="1" applyBorder="1" applyAlignment="1">
      <alignment horizontal="left"/>
    </xf>
    <xf numFmtId="10" fontId="0" fillId="35" borderId="14" xfId="1" applyNumberFormat="1" applyFont="1" applyFill="1" applyBorder="1" applyAlignment="1">
      <alignment horizontal="left"/>
    </xf>
    <xf numFmtId="10" fontId="0" fillId="36" borderId="11" xfId="1" applyNumberFormat="1" applyFont="1" applyFill="1" applyBorder="1" applyAlignment="1">
      <alignment horizontal="left"/>
    </xf>
    <xf numFmtId="10" fontId="0" fillId="36" borderId="14" xfId="1" applyNumberFormat="1" applyFont="1" applyFill="1" applyBorder="1" applyAlignment="1">
      <alignment horizontal="left"/>
    </xf>
    <xf numFmtId="0" fontId="24" fillId="6" borderId="16"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46" fillId="6" borderId="17" xfId="0" applyFont="1" applyFill="1" applyBorder="1" applyAlignment="1">
      <alignment horizontal="center" vertical="center" wrapText="1"/>
    </xf>
    <xf numFmtId="0" fontId="24" fillId="37" borderId="0" xfId="0" applyFont="1" applyFill="1" applyAlignment="1">
      <alignment horizontal="center" vertical="center" wrapText="1"/>
    </xf>
    <xf numFmtId="0" fontId="46" fillId="37" borderId="10" xfId="0" applyFont="1" applyFill="1" applyBorder="1" applyAlignment="1">
      <alignment horizontal="center" vertical="center" wrapText="1"/>
    </xf>
    <xf numFmtId="0" fontId="57" fillId="11" borderId="24" xfId="0" applyFont="1" applyFill="1" applyBorder="1" applyAlignment="1">
      <alignment horizontal="center" vertical="center"/>
    </xf>
    <xf numFmtId="0" fontId="46" fillId="11" borderId="31" xfId="0" applyFont="1" applyFill="1" applyBorder="1" applyAlignment="1">
      <alignment horizontal="center" vertical="center" wrapText="1"/>
    </xf>
    <xf numFmtId="10" fontId="0" fillId="36" borderId="24" xfId="1" applyNumberFormat="1" applyFont="1" applyFill="1" applyBorder="1" applyAlignment="1">
      <alignment horizontal="left"/>
    </xf>
    <xf numFmtId="10" fontId="0" fillId="35" borderId="25" xfId="1" applyNumberFormat="1" applyFont="1" applyFill="1" applyBorder="1" applyAlignment="1">
      <alignment horizontal="left"/>
    </xf>
    <xf numFmtId="10" fontId="0" fillId="35" borderId="24" xfId="1" applyNumberFormat="1" applyFont="1" applyFill="1" applyBorder="1" applyAlignment="1">
      <alignment horizontal="left"/>
    </xf>
    <xf numFmtId="0" fontId="46" fillId="20" borderId="9" xfId="0" applyFont="1" applyFill="1" applyBorder="1" applyAlignment="1">
      <alignment horizontal="center" vertical="center"/>
    </xf>
    <xf numFmtId="0" fontId="46" fillId="20" borderId="0" xfId="0" applyFont="1" applyFill="1" applyAlignment="1">
      <alignment horizontal="center" vertical="center"/>
    </xf>
    <xf numFmtId="0" fontId="46" fillId="20" borderId="10" xfId="0" applyFont="1" applyFill="1" applyBorder="1" applyAlignment="1">
      <alignment horizontal="center" vertical="center"/>
    </xf>
    <xf numFmtId="0" fontId="29" fillId="0" borderId="0" xfId="0" applyFont="1" applyAlignment="1">
      <alignment horizontal="center"/>
    </xf>
    <xf numFmtId="0" fontId="0" fillId="36" borderId="0" xfId="0" applyFill="1" applyAlignment="1">
      <alignment horizontal="left" vertical="center"/>
    </xf>
    <xf numFmtId="0" fontId="23" fillId="36" borderId="0" xfId="0" applyFont="1" applyFill="1"/>
    <xf numFmtId="0" fontId="0" fillId="36" borderId="0" xfId="0" applyFill="1"/>
    <xf numFmtId="0" fontId="16" fillId="11" borderId="0" xfId="0" applyFont="1" applyFill="1" applyAlignment="1">
      <alignment horizontal="center" vertical="center"/>
    </xf>
    <xf numFmtId="10" fontId="7" fillId="17" borderId="24" xfId="1" applyNumberFormat="1" applyFont="1" applyFill="1" applyBorder="1" applyAlignment="1" applyProtection="1">
      <alignment horizontal="center" vertical="center"/>
      <protection locked="0"/>
    </xf>
    <xf numFmtId="10" fontId="7" fillId="17" borderId="31" xfId="1" applyNumberFormat="1" applyFont="1" applyFill="1" applyBorder="1" applyAlignment="1" applyProtection="1">
      <alignment horizontal="center" vertical="center"/>
      <protection locked="0"/>
    </xf>
    <xf numFmtId="10" fontId="7" fillId="17" borderId="25" xfId="1" applyNumberFormat="1" applyFont="1" applyFill="1" applyBorder="1" applyAlignment="1" applyProtection="1">
      <alignment horizontal="center" vertical="center"/>
      <protection locked="0"/>
    </xf>
    <xf numFmtId="10" fontId="7" fillId="17" borderId="9" xfId="1" applyNumberFormat="1" applyFont="1" applyFill="1" applyBorder="1" applyAlignment="1" applyProtection="1">
      <alignment horizontal="center" vertical="center"/>
      <protection locked="0"/>
    </xf>
    <xf numFmtId="10" fontId="7" fillId="17" borderId="16" xfId="1" applyNumberFormat="1" applyFont="1" applyFill="1" applyBorder="1" applyAlignment="1" applyProtection="1">
      <alignment horizontal="center" vertical="center"/>
      <protection locked="0"/>
    </xf>
    <xf numFmtId="10" fontId="7" fillId="17" borderId="14" xfId="1" applyNumberFormat="1" applyFont="1" applyFill="1" applyBorder="1" applyAlignment="1" applyProtection="1">
      <alignment horizontal="center" vertical="center"/>
      <protection locked="0"/>
    </xf>
    <xf numFmtId="10" fontId="7" fillId="17" borderId="10" xfId="1" applyNumberFormat="1" applyFont="1" applyFill="1" applyBorder="1" applyAlignment="1" applyProtection="1">
      <alignment horizontal="center" vertical="center"/>
      <protection locked="0"/>
    </xf>
    <xf numFmtId="0" fontId="0" fillId="30" borderId="13" xfId="0" applyFill="1" applyBorder="1"/>
    <xf numFmtId="0" fontId="0" fillId="29" borderId="5" xfId="0" applyFill="1" applyBorder="1"/>
    <xf numFmtId="0" fontId="0" fillId="29" borderId="13" xfId="0" applyFill="1" applyBorder="1"/>
    <xf numFmtId="0" fontId="0" fillId="29" borderId="0" xfId="0" applyFill="1"/>
    <xf numFmtId="0" fontId="0" fillId="29" borderId="4" xfId="0" applyFill="1" applyBorder="1" applyAlignment="1">
      <alignment horizontal="left" vertical="center" wrapText="1"/>
    </xf>
    <xf numFmtId="168" fontId="15" fillId="10" borderId="16" xfId="0" applyNumberFormat="1" applyFont="1" applyFill="1" applyBorder="1"/>
    <xf numFmtId="168" fontId="46" fillId="20" borderId="5" xfId="0" applyNumberFormat="1" applyFont="1" applyFill="1" applyBorder="1"/>
    <xf numFmtId="0" fontId="0" fillId="7" borderId="0" xfId="0" applyFill="1" applyAlignment="1">
      <alignment horizontal="right"/>
    </xf>
    <xf numFmtId="2" fontId="59" fillId="26" borderId="3" xfId="0" applyNumberFormat="1" applyFont="1" applyFill="1" applyBorder="1" applyAlignment="1" applyProtection="1">
      <alignment horizontal="right" vertical="center"/>
      <protection locked="0"/>
    </xf>
    <xf numFmtId="0" fontId="0" fillId="0" borderId="0" xfId="0" applyAlignment="1">
      <alignment horizontal="center" vertical="center"/>
    </xf>
    <xf numFmtId="0" fontId="0" fillId="0" borderId="9" xfId="0" applyBorder="1" applyAlignment="1">
      <alignment vertical="center"/>
    </xf>
    <xf numFmtId="168" fontId="0" fillId="0" borderId="0" xfId="0" applyNumberFormat="1" applyAlignment="1">
      <alignment vertical="center"/>
    </xf>
    <xf numFmtId="168" fontId="0" fillId="0" borderId="9" xfId="0" applyNumberFormat="1" applyBorder="1" applyAlignment="1">
      <alignment vertical="center"/>
    </xf>
    <xf numFmtId="168" fontId="0" fillId="0" borderId="5" xfId="0" applyNumberFormat="1" applyBorder="1" applyAlignment="1">
      <alignment vertical="center"/>
    </xf>
    <xf numFmtId="168" fontId="0" fillId="0" borderId="16" xfId="0" applyNumberFormat="1" applyBorder="1" applyAlignment="1">
      <alignment vertical="center"/>
    </xf>
    <xf numFmtId="0" fontId="29" fillId="7" borderId="0" xfId="0" applyFont="1" applyFill="1"/>
    <xf numFmtId="0" fontId="60" fillId="7" borderId="0" xfId="0" applyFont="1" applyFill="1" applyAlignment="1">
      <alignment horizontal="right"/>
    </xf>
    <xf numFmtId="0" fontId="29" fillId="7" borderId="0" xfId="0" applyFont="1" applyFill="1" applyAlignment="1">
      <alignment horizontal="left" vertical="center"/>
    </xf>
    <xf numFmtId="168" fontId="29" fillId="12" borderId="3" xfId="0" applyNumberFormat="1" applyFont="1" applyFill="1" applyBorder="1" applyAlignment="1">
      <alignment horizontal="right"/>
    </xf>
    <xf numFmtId="168" fontId="22" fillId="12" borderId="15" xfId="0" applyNumberFormat="1" applyFont="1" applyFill="1" applyBorder="1" applyAlignment="1">
      <alignment horizontal="right"/>
    </xf>
    <xf numFmtId="168" fontId="13" fillId="12" borderId="4" xfId="0" applyNumberFormat="1" applyFont="1" applyFill="1" applyBorder="1" applyAlignment="1">
      <alignment horizontal="right"/>
    </xf>
    <xf numFmtId="168" fontId="12" fillId="12" borderId="15" xfId="0" applyNumberFormat="1" applyFont="1" applyFill="1" applyBorder="1" applyAlignment="1">
      <alignment horizontal="right"/>
    </xf>
    <xf numFmtId="168" fontId="13" fillId="12" borderId="3" xfId="0" applyNumberFormat="1" applyFont="1" applyFill="1" applyBorder="1" applyAlignment="1">
      <alignment horizontal="right"/>
    </xf>
    <xf numFmtId="0" fontId="3" fillId="0" borderId="0" xfId="2" applyAlignment="1">
      <alignment horizontal="center"/>
    </xf>
    <xf numFmtId="10" fontId="3" fillId="0" borderId="0" xfId="2" applyNumberFormat="1" applyAlignment="1">
      <alignment horizontal="right"/>
    </xf>
    <xf numFmtId="0" fontId="63" fillId="39" borderId="0" xfId="2" applyFont="1" applyFill="1" applyAlignment="1">
      <alignment horizontal="right"/>
    </xf>
    <xf numFmtId="164" fontId="38" fillId="15" borderId="0" xfId="2" applyNumberFormat="1" applyFont="1" applyFill="1" applyBorder="1"/>
    <xf numFmtId="0" fontId="63" fillId="39" borderId="0" xfId="2" applyFont="1" applyFill="1" applyAlignment="1">
      <alignment horizontal="center"/>
    </xf>
    <xf numFmtId="164" fontId="63" fillId="39" borderId="0" xfId="2" applyNumberFormat="1" applyFont="1" applyFill="1" applyAlignment="1">
      <alignment horizontal="center"/>
    </xf>
    <xf numFmtId="10" fontId="38" fillId="13" borderId="0" xfId="1" applyNumberFormat="1" applyFont="1" applyFill="1"/>
    <xf numFmtId="168" fontId="29" fillId="31" borderId="0" xfId="1" applyNumberFormat="1" applyFont="1" applyFill="1" applyBorder="1" applyAlignment="1" applyProtection="1">
      <alignment horizontal="right" vertical="center"/>
    </xf>
    <xf numFmtId="168" fontId="22" fillId="31" borderId="10" xfId="1" applyNumberFormat="1" applyFont="1" applyFill="1" applyBorder="1" applyAlignment="1" applyProtection="1">
      <alignment horizontal="right" vertical="center"/>
    </xf>
    <xf numFmtId="168" fontId="29" fillId="31" borderId="9" xfId="1" applyNumberFormat="1" applyFont="1" applyFill="1" applyBorder="1" applyAlignment="1" applyProtection="1">
      <alignment horizontal="right" vertical="center"/>
    </xf>
    <xf numFmtId="168" fontId="29" fillId="13" borderId="3" xfId="1" applyNumberFormat="1" applyFont="1" applyFill="1" applyBorder="1" applyAlignment="1" applyProtection="1">
      <alignment horizontal="right" vertical="center"/>
    </xf>
    <xf numFmtId="168" fontId="22" fillId="13" borderId="15" xfId="1" applyNumberFormat="1" applyFont="1" applyFill="1" applyBorder="1" applyAlignment="1" applyProtection="1">
      <alignment horizontal="right" vertical="center"/>
    </xf>
    <xf numFmtId="168" fontId="29" fillId="13" borderId="4" xfId="1" applyNumberFormat="1" applyFont="1" applyFill="1" applyBorder="1" applyAlignment="1" applyProtection="1">
      <alignment horizontal="right" vertical="center"/>
    </xf>
    <xf numFmtId="168" fontId="29" fillId="12" borderId="4" xfId="1" applyNumberFormat="1" applyFont="1" applyFill="1" applyBorder="1" applyAlignment="1" applyProtection="1">
      <alignment horizontal="right" vertical="center"/>
    </xf>
    <xf numFmtId="10" fontId="29" fillId="35" borderId="17" xfId="1" applyNumberFormat="1" applyFont="1" applyFill="1" applyBorder="1" applyAlignment="1">
      <alignment horizontal="left"/>
    </xf>
    <xf numFmtId="168" fontId="29" fillId="13" borderId="15" xfId="1" applyNumberFormat="1" applyFont="1" applyFill="1" applyBorder="1" applyAlignment="1" applyProtection="1">
      <alignment horizontal="right" vertical="center"/>
    </xf>
    <xf numFmtId="168" fontId="29" fillId="12" borderId="15" xfId="1" applyNumberFormat="1" applyFont="1" applyFill="1" applyBorder="1" applyAlignment="1" applyProtection="1">
      <alignment horizontal="right" vertical="center"/>
    </xf>
    <xf numFmtId="10" fontId="29" fillId="35" borderId="16" xfId="1" applyNumberFormat="1" applyFont="1" applyFill="1" applyBorder="1" applyAlignment="1">
      <alignment horizontal="left"/>
    </xf>
    <xf numFmtId="10" fontId="29" fillId="0" borderId="0" xfId="1" applyNumberFormat="1" applyFont="1" applyAlignment="1">
      <alignment horizontal="left"/>
    </xf>
    <xf numFmtId="168" fontId="11" fillId="10" borderId="17" xfId="0" applyNumberFormat="1" applyFont="1" applyFill="1" applyBorder="1"/>
    <xf numFmtId="168" fontId="11" fillId="10" borderId="10" xfId="0" applyNumberFormat="1" applyFont="1" applyFill="1" applyBorder="1"/>
    <xf numFmtId="0" fontId="36" fillId="8" borderId="0" xfId="2" applyFont="1" applyFill="1"/>
    <xf numFmtId="0" fontId="36" fillId="8" borderId="0" xfId="2" applyFont="1" applyFill="1" applyAlignment="1">
      <alignment horizontal="right"/>
    </xf>
    <xf numFmtId="0" fontId="36" fillId="8" borderId="0" xfId="2" applyFont="1" applyFill="1" applyAlignment="1">
      <alignment horizontal="center"/>
    </xf>
    <xf numFmtId="0" fontId="24" fillId="40" borderId="16" xfId="0" applyFont="1" applyFill="1" applyBorder="1" applyAlignment="1">
      <alignment horizontal="center" vertical="center" wrapText="1"/>
    </xf>
    <xf numFmtId="0" fontId="24" fillId="40" borderId="17" xfId="0" applyFont="1" applyFill="1" applyBorder="1" applyAlignment="1">
      <alignment horizontal="center" vertical="center" wrapText="1"/>
    </xf>
    <xf numFmtId="0" fontId="24" fillId="40" borderId="0" xfId="0" applyFont="1" applyFill="1" applyAlignment="1">
      <alignment horizontal="center" vertical="center" wrapText="1"/>
    </xf>
    <xf numFmtId="0" fontId="46" fillId="40" borderId="10" xfId="0" applyFont="1" applyFill="1" applyBorder="1" applyAlignment="1">
      <alignment horizontal="center" vertical="center" wrapText="1"/>
    </xf>
    <xf numFmtId="10" fontId="29" fillId="29" borderId="0" xfId="1" applyNumberFormat="1" applyFont="1" applyFill="1" applyBorder="1" applyAlignment="1">
      <alignment horizontal="center" vertical="center" wrapText="1"/>
    </xf>
    <xf numFmtId="10" fontId="60" fillId="0" borderId="0" xfId="1" applyNumberFormat="1" applyFont="1"/>
    <xf numFmtId="168" fontId="51" fillId="12" borderId="15" xfId="1" applyNumberFormat="1" applyFont="1" applyFill="1" applyBorder="1" applyAlignment="1" applyProtection="1">
      <alignment horizontal="right" vertical="center"/>
    </xf>
    <xf numFmtId="10" fontId="64" fillId="0" borderId="0" xfId="1" applyNumberFormat="1" applyFont="1" applyFill="1"/>
    <xf numFmtId="164" fontId="36" fillId="17" borderId="0" xfId="2" applyNumberFormat="1" applyFont="1" applyFill="1" applyBorder="1"/>
    <xf numFmtId="0" fontId="61" fillId="8" borderId="0" xfId="0" applyFont="1" applyFill="1" applyProtection="1">
      <protection locked="0"/>
    </xf>
    <xf numFmtId="0" fontId="57" fillId="20" borderId="11" xfId="0" applyFont="1" applyFill="1" applyBorder="1" applyAlignment="1">
      <alignment horizontal="center"/>
    </xf>
    <xf numFmtId="0" fontId="57" fillId="20" borderId="13" xfId="0" applyFont="1" applyFill="1" applyBorder="1" applyAlignment="1">
      <alignment horizontal="center"/>
    </xf>
    <xf numFmtId="0" fontId="57" fillId="20" borderId="14" xfId="0" applyFont="1" applyFill="1" applyBorder="1" applyAlignment="1">
      <alignment horizontal="center"/>
    </xf>
    <xf numFmtId="0" fontId="16" fillId="38" borderId="0" xfId="0" applyFont="1" applyFill="1" applyAlignment="1">
      <alignment horizontal="center" vertical="center"/>
    </xf>
    <xf numFmtId="0" fontId="46" fillId="41" borderId="0" xfId="0" applyFont="1" applyFill="1" applyAlignment="1">
      <alignment horizontal="center" vertical="center"/>
    </xf>
    <xf numFmtId="0" fontId="16" fillId="39" borderId="0" xfId="0" applyFont="1" applyFill="1" applyAlignment="1">
      <alignment horizontal="center" vertical="center"/>
    </xf>
    <xf numFmtId="10" fontId="0" fillId="0" borderId="0" xfId="1" applyNumberFormat="1" applyFont="1" applyBorder="1" applyAlignment="1">
      <alignment vertical="center"/>
    </xf>
    <xf numFmtId="0" fontId="16" fillId="39" borderId="9" xfId="0" applyFont="1" applyFill="1" applyBorder="1" applyAlignment="1">
      <alignment horizontal="center" vertical="center"/>
    </xf>
    <xf numFmtId="10" fontId="0" fillId="0" borderId="9" xfId="1" applyNumberFormat="1" applyFont="1" applyBorder="1" applyAlignment="1">
      <alignment vertical="center"/>
    </xf>
    <xf numFmtId="0" fontId="0" fillId="0" borderId="10" xfId="0" applyBorder="1"/>
    <xf numFmtId="0" fontId="0" fillId="0" borderId="9" xfId="0" applyBorder="1"/>
    <xf numFmtId="10" fontId="0" fillId="0" borderId="9" xfId="0" applyNumberFormat="1" applyBorder="1"/>
    <xf numFmtId="0" fontId="0" fillId="0" borderId="16" xfId="0" applyBorder="1"/>
    <xf numFmtId="0" fontId="0" fillId="0" borderId="5" xfId="0" applyBorder="1"/>
    <xf numFmtId="0" fontId="0" fillId="0" borderId="17" xfId="0" applyBorder="1"/>
    <xf numFmtId="0" fontId="16" fillId="11" borderId="10" xfId="0" applyFont="1" applyFill="1" applyBorder="1" applyAlignment="1">
      <alignment vertical="center"/>
    </xf>
    <xf numFmtId="10" fontId="0" fillId="0" borderId="10" xfId="1" applyNumberFormat="1" applyFont="1" applyBorder="1" applyAlignment="1">
      <alignment vertical="center"/>
    </xf>
    <xf numFmtId="10" fontId="0" fillId="0" borderId="17" xfId="1" applyNumberFormat="1" applyFont="1" applyBorder="1" applyAlignment="1">
      <alignment vertical="center"/>
    </xf>
    <xf numFmtId="0" fontId="46" fillId="38" borderId="0" xfId="0" applyFont="1" applyFill="1" applyAlignment="1">
      <alignment horizontal="center" vertical="center"/>
    </xf>
    <xf numFmtId="10" fontId="0" fillId="0" borderId="0" xfId="1" applyNumberFormat="1" applyFont="1" applyBorder="1"/>
    <xf numFmtId="0" fontId="16" fillId="11" borderId="10" xfId="0" applyFont="1" applyFill="1" applyBorder="1" applyAlignment="1">
      <alignment horizontal="center" vertical="center"/>
    </xf>
    <xf numFmtId="0" fontId="57" fillId="40" borderId="9" xfId="0" applyFont="1" applyFill="1" applyBorder="1" applyAlignment="1">
      <alignment horizontal="center"/>
    </xf>
    <xf numFmtId="0" fontId="57" fillId="41" borderId="13" xfId="0" applyFont="1" applyFill="1" applyBorder="1" applyAlignment="1">
      <alignment horizontal="center"/>
    </xf>
    <xf numFmtId="10" fontId="0" fillId="0" borderId="5" xfId="1" applyNumberFormat="1" applyFont="1" applyBorder="1"/>
    <xf numFmtId="10" fontId="0" fillId="0" borderId="10" xfId="1" applyNumberFormat="1" applyFont="1" applyBorder="1"/>
    <xf numFmtId="10" fontId="0" fillId="0" borderId="17" xfId="1" applyNumberFormat="1" applyFont="1" applyBorder="1"/>
    <xf numFmtId="0" fontId="0" fillId="0" borderId="10" xfId="0" applyBorder="1" applyAlignment="1">
      <alignment horizontal="center" vertical="center"/>
    </xf>
    <xf numFmtId="0" fontId="0" fillId="0" borderId="10" xfId="0" applyBorder="1" applyAlignment="1">
      <alignment horizontal="center"/>
    </xf>
    <xf numFmtId="0" fontId="0" fillId="0" borderId="17" xfId="0" applyBorder="1" applyAlignment="1">
      <alignment horizontal="center"/>
    </xf>
    <xf numFmtId="0" fontId="0" fillId="0" borderId="5" xfId="0" applyBorder="1" applyAlignment="1">
      <alignment horizontal="center"/>
    </xf>
    <xf numFmtId="0" fontId="16" fillId="21" borderId="0" xfId="0" applyFont="1" applyFill="1" applyAlignment="1">
      <alignment horizontal="center" vertical="center"/>
    </xf>
    <xf numFmtId="10" fontId="0" fillId="0" borderId="16" xfId="0" applyNumberFormat="1" applyBorder="1"/>
    <xf numFmtId="0" fontId="16" fillId="21" borderId="9" xfId="0" applyFont="1" applyFill="1" applyBorder="1" applyAlignment="1">
      <alignment horizontal="center" vertical="center"/>
    </xf>
    <xf numFmtId="9" fontId="3" fillId="0" borderId="0" xfId="2" applyNumberFormat="1"/>
    <xf numFmtId="0" fontId="0" fillId="42" borderId="0" xfId="0" applyFill="1"/>
    <xf numFmtId="0" fontId="65" fillId="8" borderId="0" xfId="0" applyFont="1" applyFill="1" applyAlignment="1" applyProtection="1">
      <alignment horizontal="center" vertical="center"/>
      <protection locked="0"/>
    </xf>
    <xf numFmtId="0" fontId="26" fillId="7" borderId="0" xfId="0" applyFont="1" applyFill="1" applyAlignment="1">
      <alignment horizontal="right" vertical="center"/>
    </xf>
    <xf numFmtId="0" fontId="16" fillId="7" borderId="0" xfId="0" applyFont="1" applyFill="1" applyAlignment="1">
      <alignment horizontal="center" vertical="center" wrapText="1"/>
    </xf>
    <xf numFmtId="10" fontId="0" fillId="0" borderId="0" xfId="1" applyNumberFormat="1" applyFont="1"/>
    <xf numFmtId="0" fontId="61" fillId="8" borderId="33" xfId="0" applyFont="1" applyFill="1" applyBorder="1" applyAlignment="1" applyProtection="1">
      <alignment horizontal="center" vertical="center"/>
      <protection locked="0"/>
    </xf>
    <xf numFmtId="168" fontId="58" fillId="0" borderId="0" xfId="0" applyNumberFormat="1" applyFont="1"/>
    <xf numFmtId="0" fontId="67" fillId="7" borderId="0" xfId="0" applyFont="1" applyFill="1" applyAlignment="1" applyProtection="1">
      <protection hidden="1"/>
    </xf>
    <xf numFmtId="0" fontId="67" fillId="7" borderId="0" xfId="0" applyFont="1" applyFill="1" applyAlignment="1" applyProtection="1">
      <alignment horizontal="right"/>
      <protection hidden="1"/>
    </xf>
    <xf numFmtId="0" fontId="0" fillId="7" borderId="0" xfId="0" applyFill="1" applyAlignment="1">
      <alignment horizontal="center"/>
    </xf>
    <xf numFmtId="0" fontId="67" fillId="7" borderId="0" xfId="0" applyFont="1" applyFill="1" applyAlignment="1" applyProtection="1">
      <alignment horizontal="right"/>
      <protection hidden="1"/>
    </xf>
    <xf numFmtId="0" fontId="4" fillId="0" borderId="14" xfId="2" applyFont="1" applyBorder="1" applyAlignment="1">
      <alignment horizontal="center"/>
    </xf>
    <xf numFmtId="0" fontId="4" fillId="3" borderId="0" xfId="2" applyFont="1" applyFill="1" applyBorder="1" applyAlignment="1">
      <alignment horizontal="center"/>
    </xf>
    <xf numFmtId="0" fontId="4" fillId="3" borderId="10" xfId="2" applyFont="1" applyFill="1" applyBorder="1" applyAlignment="1">
      <alignment horizontal="center"/>
    </xf>
    <xf numFmtId="0" fontId="4" fillId="2" borderId="0" xfId="2" applyFont="1" applyFill="1" applyAlignment="1">
      <alignment horizontal="center"/>
    </xf>
    <xf numFmtId="0" fontId="4" fillId="3" borderId="0" xfId="2" applyFont="1" applyFill="1" applyAlignment="1">
      <alignment horizontal="center"/>
    </xf>
    <xf numFmtId="0" fontId="4" fillId="2" borderId="9" xfId="2" applyFont="1" applyFill="1" applyBorder="1" applyAlignment="1">
      <alignment horizontal="center"/>
    </xf>
    <xf numFmtId="0" fontId="4" fillId="2" borderId="0" xfId="2" applyFont="1" applyFill="1" applyBorder="1" applyAlignment="1">
      <alignment horizontal="center"/>
    </xf>
    <xf numFmtId="0" fontId="4" fillId="0" borderId="13" xfId="2" applyFont="1" applyBorder="1" applyAlignment="1">
      <alignment horizontal="center"/>
    </xf>
    <xf numFmtId="0" fontId="60" fillId="0" borderId="0" xfId="0" applyFont="1" applyFill="1" applyAlignment="1">
      <alignment horizontal="right"/>
    </xf>
    <xf numFmtId="0" fontId="60" fillId="7" borderId="0" xfId="0" applyFont="1" applyFill="1"/>
    <xf numFmtId="0" fontId="0" fillId="0" borderId="0" xfId="0" applyAlignment="1">
      <alignment vertical="center"/>
    </xf>
    <xf numFmtId="0" fontId="0" fillId="40" borderId="0" xfId="0" applyFill="1"/>
    <xf numFmtId="168" fontId="0" fillId="40" borderId="0" xfId="0" applyNumberFormat="1" applyFill="1"/>
    <xf numFmtId="0" fontId="68" fillId="40" borderId="0" xfId="0" applyFont="1" applyFill="1" applyAlignment="1">
      <alignment horizontal="center" vertical="center"/>
    </xf>
    <xf numFmtId="0" fontId="60" fillId="40" borderId="0" xfId="0" applyFont="1" applyFill="1"/>
    <xf numFmtId="0" fontId="61" fillId="0" borderId="0" xfId="0" applyFont="1" applyAlignment="1">
      <alignment horizontal="center" vertical="center"/>
    </xf>
    <xf numFmtId="0" fontId="58" fillId="0" borderId="0" xfId="0" applyFont="1" applyFill="1" applyBorder="1" applyAlignment="1">
      <alignment horizontal="left" vertical="center"/>
    </xf>
    <xf numFmtId="0" fontId="60" fillId="0" borderId="0" xfId="0" applyFont="1" applyFill="1" applyAlignment="1">
      <alignment horizontal="center" vertical="center"/>
    </xf>
    <xf numFmtId="0" fontId="60" fillId="0" borderId="0" xfId="0" applyFont="1" applyFill="1" applyBorder="1" applyAlignment="1">
      <alignment horizontal="center" vertical="center"/>
    </xf>
    <xf numFmtId="0" fontId="70" fillId="7" borderId="0" xfId="0" applyFont="1" applyFill="1" applyAlignment="1">
      <alignment horizontal="center" vertical="center"/>
    </xf>
    <xf numFmtId="0" fontId="0" fillId="41" borderId="0" xfId="0" applyFill="1"/>
    <xf numFmtId="168" fontId="0" fillId="41" borderId="0" xfId="0" applyNumberFormat="1" applyFill="1"/>
    <xf numFmtId="0" fontId="68" fillId="41" borderId="0" xfId="0" applyFont="1" applyFill="1" applyAlignment="1">
      <alignment horizontal="center" vertical="center"/>
    </xf>
    <xf numFmtId="0" fontId="60" fillId="41" borderId="0" xfId="0" applyFont="1" applyFill="1"/>
    <xf numFmtId="0" fontId="60" fillId="0" borderId="0" xfId="0" applyFont="1" applyFill="1" applyAlignment="1">
      <alignment horizontal="center" vertical="center"/>
    </xf>
    <xf numFmtId="0" fontId="73" fillId="0" borderId="0" xfId="0" applyFont="1"/>
    <xf numFmtId="0" fontId="72" fillId="7" borderId="0" xfId="0" applyFont="1" applyFill="1" applyAlignment="1">
      <alignment horizontal="center" vertical="center"/>
    </xf>
    <xf numFmtId="0" fontId="60" fillId="0" borderId="0" xfId="0" applyFont="1" applyAlignment="1">
      <alignment horizontal="center"/>
    </xf>
    <xf numFmtId="0" fontId="60" fillId="0" borderId="0" xfId="0" applyFont="1" applyFill="1" applyBorder="1" applyAlignment="1">
      <alignment horizontal="left" vertical="center"/>
    </xf>
    <xf numFmtId="0" fontId="72" fillId="7" borderId="0" xfId="0" applyFont="1" applyFill="1" applyAlignment="1">
      <alignment vertical="center"/>
    </xf>
    <xf numFmtId="0" fontId="60" fillId="0" borderId="0" xfId="0" applyFont="1" applyFill="1" applyBorder="1" applyAlignment="1">
      <alignment horizontal="center" vertical="center"/>
    </xf>
    <xf numFmtId="0" fontId="75" fillId="43" borderId="0" xfId="0" applyFont="1" applyFill="1"/>
    <xf numFmtId="168" fontId="75" fillId="43" borderId="0" xfId="0" applyNumberFormat="1" applyFont="1" applyFill="1"/>
    <xf numFmtId="0" fontId="76" fillId="43" borderId="0" xfId="0" applyFont="1" applyFill="1" applyAlignment="1">
      <alignment horizontal="center" vertical="center"/>
    </xf>
    <xf numFmtId="0" fontId="77" fillId="43" borderId="0" xfId="0" applyFont="1" applyFill="1"/>
    <xf numFmtId="0" fontId="71" fillId="7" borderId="0" xfId="0" applyFont="1" applyFill="1" applyAlignment="1">
      <alignment horizontal="center" vertical="center"/>
    </xf>
    <xf numFmtId="0" fontId="70" fillId="7" borderId="0" xfId="0" applyFont="1" applyFill="1" applyAlignment="1">
      <alignment horizontal="center" vertical="center"/>
    </xf>
    <xf numFmtId="0" fontId="0" fillId="7" borderId="0" xfId="0" applyFill="1" applyAlignment="1">
      <alignment horizontal="center"/>
    </xf>
    <xf numFmtId="0" fontId="19" fillId="7" borderId="0" xfId="0" applyFont="1" applyFill="1" applyAlignment="1">
      <alignment horizontal="center" wrapText="1"/>
    </xf>
    <xf numFmtId="0" fontId="60" fillId="7" borderId="9" xfId="0" applyFont="1" applyFill="1" applyBorder="1" applyAlignment="1">
      <alignment horizontal="left" vertical="center"/>
    </xf>
    <xf numFmtId="0" fontId="72" fillId="7" borderId="0" xfId="0" applyFont="1" applyFill="1" applyAlignment="1">
      <alignment horizontal="center" vertical="center"/>
    </xf>
    <xf numFmtId="0" fontId="13" fillId="0" borderId="0" xfId="0" applyFont="1" applyAlignment="1">
      <alignment horizontal="center"/>
    </xf>
    <xf numFmtId="0" fontId="60" fillId="0" borderId="0" xfId="0" applyFont="1" applyFill="1" applyBorder="1" applyAlignment="1">
      <alignment vertical="center"/>
    </xf>
    <xf numFmtId="168" fontId="29" fillId="31" borderId="3" xfId="1" applyNumberFormat="1" applyFont="1" applyFill="1" applyBorder="1" applyAlignment="1" applyProtection="1">
      <alignment horizontal="right" vertical="center"/>
    </xf>
    <xf numFmtId="168" fontId="29" fillId="31" borderId="4" xfId="1" applyNumberFormat="1" applyFont="1" applyFill="1" applyBorder="1" applyAlignment="1" applyProtection="1">
      <alignment horizontal="right" vertical="center"/>
    </xf>
    <xf numFmtId="168" fontId="22" fillId="31" borderId="26" xfId="1" applyNumberFormat="1" applyFont="1" applyFill="1" applyBorder="1" applyAlignment="1" applyProtection="1">
      <alignment horizontal="right" vertical="center"/>
    </xf>
    <xf numFmtId="0" fontId="75" fillId="6" borderId="0" xfId="0" applyFont="1" applyFill="1"/>
    <xf numFmtId="168" fontId="75" fillId="6" borderId="0" xfId="0" applyNumberFormat="1" applyFont="1" applyFill="1"/>
    <xf numFmtId="0" fontId="76" fillId="6" borderId="0" xfId="0" applyFont="1" applyFill="1" applyAlignment="1">
      <alignment horizontal="center" vertical="center"/>
    </xf>
    <xf numFmtId="0" fontId="77" fillId="6" borderId="0" xfId="0" applyFont="1" applyFill="1"/>
    <xf numFmtId="0" fontId="1" fillId="30" borderId="0" xfId="0" applyFont="1" applyFill="1" applyAlignment="1">
      <alignment horizontal="center"/>
    </xf>
    <xf numFmtId="0" fontId="82" fillId="7" borderId="0" xfId="0" applyFont="1" applyFill="1" applyBorder="1" applyAlignment="1">
      <alignment horizontal="center" vertical="center"/>
    </xf>
    <xf numFmtId="0" fontId="83" fillId="7" borderId="0" xfId="0" applyFont="1" applyFill="1" applyBorder="1" applyAlignment="1">
      <alignment horizontal="center" vertical="center"/>
    </xf>
    <xf numFmtId="0" fontId="80" fillId="6" borderId="15" xfId="0" applyFont="1" applyFill="1" applyBorder="1" applyAlignment="1">
      <alignment horizontal="right" vertical="center"/>
    </xf>
    <xf numFmtId="0" fontId="0" fillId="0" borderId="0" xfId="0" applyFill="1"/>
    <xf numFmtId="0" fontId="0" fillId="47" borderId="0" xfId="0" applyFill="1"/>
    <xf numFmtId="168" fontId="0" fillId="47" borderId="0" xfId="0" applyNumberFormat="1" applyFill="1"/>
    <xf numFmtId="0" fontId="68" fillId="47" borderId="0" xfId="0" applyFont="1" applyFill="1" applyAlignment="1">
      <alignment horizontal="center" vertical="center"/>
    </xf>
    <xf numFmtId="0" fontId="60" fillId="47" borderId="0" xfId="0" applyFont="1" applyFill="1"/>
    <xf numFmtId="0" fontId="13" fillId="0" borderId="0" xfId="0" applyFont="1" applyFill="1" applyAlignment="1">
      <alignment vertical="center"/>
    </xf>
    <xf numFmtId="0" fontId="62" fillId="0" borderId="0" xfId="0" applyFont="1" applyFill="1" applyAlignment="1">
      <alignment vertical="center" wrapText="1"/>
    </xf>
    <xf numFmtId="0" fontId="58" fillId="7" borderId="0" xfId="0" applyFont="1" applyFill="1" applyBorder="1" applyAlignment="1">
      <alignment horizontal="left" vertical="center"/>
    </xf>
    <xf numFmtId="0" fontId="67" fillId="7" borderId="12" xfId="0" applyFont="1" applyFill="1" applyBorder="1" applyAlignment="1">
      <alignment vertical="center"/>
    </xf>
    <xf numFmtId="0" fontId="58" fillId="7" borderId="12" xfId="0" applyFont="1" applyFill="1" applyBorder="1" applyAlignment="1">
      <alignment vertical="center"/>
    </xf>
    <xf numFmtId="0" fontId="58" fillId="7" borderId="32" xfId="0" applyFont="1" applyFill="1" applyBorder="1" applyAlignment="1">
      <alignment horizontal="left" vertical="center"/>
    </xf>
    <xf numFmtId="0" fontId="60" fillId="7" borderId="0" xfId="0" applyFont="1" applyFill="1" applyAlignment="1">
      <alignment horizontal="center" vertical="center"/>
    </xf>
    <xf numFmtId="0" fontId="71" fillId="7" borderId="0" xfId="0" applyFont="1" applyFill="1" applyAlignment="1">
      <alignment horizontal="center" vertical="center"/>
    </xf>
    <xf numFmtId="0" fontId="58" fillId="0" borderId="0" xfId="0" applyFont="1"/>
    <xf numFmtId="0" fontId="80" fillId="10" borderId="4" xfId="0" applyFont="1" applyFill="1" applyBorder="1" applyAlignment="1">
      <alignment horizontal="right" vertical="center"/>
    </xf>
    <xf numFmtId="0" fontId="75" fillId="10" borderId="0" xfId="0" applyFont="1" applyFill="1"/>
    <xf numFmtId="168" fontId="75" fillId="10" borderId="0" xfId="0" applyNumberFormat="1" applyFont="1" applyFill="1"/>
    <xf numFmtId="0" fontId="76" fillId="10" borderId="0" xfId="0" applyFont="1" applyFill="1" applyAlignment="1">
      <alignment horizontal="center" vertical="center"/>
    </xf>
    <xf numFmtId="0" fontId="77" fillId="10" borderId="0" xfId="0" applyFont="1" applyFill="1"/>
    <xf numFmtId="0" fontId="18" fillId="7" borderId="0" xfId="0" applyFont="1" applyFill="1" applyAlignment="1">
      <alignment horizontal="center" vertical="center" wrapText="1"/>
    </xf>
    <xf numFmtId="0" fontId="0" fillId="0" borderId="0" xfId="0" applyAlignment="1">
      <alignment horizontal="center"/>
    </xf>
    <xf numFmtId="0" fontId="88" fillId="7" borderId="0" xfId="0" applyFont="1" applyFill="1" applyAlignment="1">
      <alignment horizontal="left" vertical="center"/>
    </xf>
    <xf numFmtId="167" fontId="9" fillId="48" borderId="3" xfId="5" applyFont="1" applyFill="1" applyBorder="1" applyAlignment="1">
      <alignment vertical="center"/>
    </xf>
    <xf numFmtId="9" fontId="4" fillId="0" borderId="0" xfId="1" applyFont="1" applyAlignment="1">
      <alignment horizontal="right"/>
    </xf>
    <xf numFmtId="164" fontId="4" fillId="49" borderId="0" xfId="2" applyNumberFormat="1" applyFont="1" applyFill="1" applyBorder="1"/>
    <xf numFmtId="0" fontId="19" fillId="7" borderId="0" xfId="0" applyFont="1" applyFill="1" applyAlignment="1">
      <alignment horizontal="center" wrapText="1"/>
    </xf>
    <xf numFmtId="0" fontId="33" fillId="7" borderId="0" xfId="0" applyFont="1" applyFill="1" applyAlignment="1">
      <alignment horizontal="right" vertical="center"/>
    </xf>
    <xf numFmtId="0" fontId="26" fillId="7" borderId="0" xfId="0" applyFont="1" applyFill="1" applyAlignment="1">
      <alignment horizontal="right" vertical="center"/>
    </xf>
    <xf numFmtId="0" fontId="16" fillId="7" borderId="0" xfId="0" applyFont="1" applyFill="1" applyAlignment="1">
      <alignment horizontal="center" vertical="center" wrapText="1"/>
    </xf>
    <xf numFmtId="0" fontId="90" fillId="0" borderId="0" xfId="0" applyFont="1"/>
    <xf numFmtId="0" fontId="13" fillId="0" borderId="0" xfId="0" applyFont="1" applyFill="1" applyAlignment="1">
      <alignment horizontal="center" vertical="center"/>
    </xf>
    <xf numFmtId="0" fontId="10" fillId="0" borderId="0" xfId="7"/>
    <xf numFmtId="0" fontId="19" fillId="7" borderId="0" xfId="0" applyFont="1" applyFill="1" applyAlignment="1">
      <alignment horizontal="center" wrapText="1"/>
    </xf>
    <xf numFmtId="0" fontId="87" fillId="7" borderId="0" xfId="0" applyFont="1" applyFill="1" applyAlignment="1">
      <alignment horizontal="center" vertical="center" wrapText="1"/>
    </xf>
    <xf numFmtId="0" fontId="72" fillId="7" borderId="0" xfId="0" applyFont="1" applyFill="1" applyAlignment="1">
      <alignment horizontal="center" vertical="center"/>
    </xf>
    <xf numFmtId="0" fontId="84" fillId="7" borderId="0" xfId="0" applyFont="1" applyFill="1" applyAlignment="1" applyProtection="1">
      <alignment horizontal="right"/>
      <protection hidden="1"/>
    </xf>
    <xf numFmtId="0" fontId="60" fillId="0" borderId="0" xfId="0" applyFont="1" applyAlignment="1">
      <alignment horizontal="center"/>
    </xf>
    <xf numFmtId="0" fontId="58" fillId="0" borderId="0" xfId="0" applyFont="1" applyFill="1" applyBorder="1" applyAlignment="1">
      <alignment horizontal="center" vertical="center"/>
    </xf>
    <xf numFmtId="0" fontId="60" fillId="0" borderId="0" xfId="0" applyFont="1" applyFill="1" applyAlignment="1">
      <alignment horizontal="center" vertical="center"/>
    </xf>
    <xf numFmtId="0" fontId="70" fillId="7" borderId="0" xfId="0" applyFont="1" applyFill="1" applyAlignment="1">
      <alignment horizontal="center" vertical="center"/>
    </xf>
    <xf numFmtId="9" fontId="11" fillId="42" borderId="0" xfId="1" applyFont="1" applyFill="1" applyBorder="1" applyAlignment="1" applyProtection="1">
      <alignment horizontal="center" vertical="center"/>
    </xf>
    <xf numFmtId="9" fontId="66" fillId="10" borderId="9" xfId="1" applyFont="1" applyFill="1" applyBorder="1" applyAlignment="1" applyProtection="1">
      <alignment horizontal="center" vertical="center"/>
    </xf>
    <xf numFmtId="9" fontId="66" fillId="10" borderId="0" xfId="1" applyFont="1" applyFill="1" applyBorder="1" applyAlignment="1" applyProtection="1">
      <alignment horizontal="center" vertical="center"/>
    </xf>
    <xf numFmtId="0" fontId="85" fillId="7" borderId="0" xfId="0" applyFont="1" applyFill="1" applyAlignment="1" applyProtection="1">
      <alignment horizontal="right"/>
      <protection hidden="1"/>
    </xf>
    <xf numFmtId="0" fontId="71" fillId="7" borderId="0" xfId="0" applyFont="1" applyFill="1" applyAlignment="1">
      <alignment horizontal="center" vertical="center"/>
    </xf>
    <xf numFmtId="168" fontId="58" fillId="31" borderId="3" xfId="1" applyNumberFormat="1" applyFont="1" applyFill="1" applyBorder="1" applyAlignment="1" applyProtection="1">
      <alignment horizontal="right" vertical="center"/>
    </xf>
    <xf numFmtId="168" fontId="58" fillId="31" borderId="4" xfId="1" applyNumberFormat="1" applyFont="1" applyFill="1" applyBorder="1" applyAlignment="1" applyProtection="1">
      <alignment horizontal="right" vertical="center"/>
    </xf>
    <xf numFmtId="168" fontId="74" fillId="13" borderId="15" xfId="1" applyNumberFormat="1" applyFont="1" applyFill="1" applyBorder="1" applyAlignment="1" applyProtection="1">
      <alignment horizontal="right" vertical="center"/>
    </xf>
    <xf numFmtId="168" fontId="68" fillId="13" borderId="15" xfId="1" applyNumberFormat="1" applyFont="1" applyFill="1" applyBorder="1" applyAlignment="1" applyProtection="1">
      <alignment horizontal="right" vertical="center"/>
    </xf>
    <xf numFmtId="168" fontId="68" fillId="13" borderId="4" xfId="1" applyNumberFormat="1" applyFont="1" applyFill="1" applyBorder="1" applyAlignment="1" applyProtection="1">
      <alignment horizontal="right" vertical="center"/>
    </xf>
    <xf numFmtId="9" fontId="11" fillId="41" borderId="0" xfId="1" applyFont="1" applyFill="1" applyBorder="1" applyAlignment="1" applyProtection="1">
      <alignment horizontal="center" vertical="center"/>
    </xf>
    <xf numFmtId="9" fontId="11" fillId="40" borderId="0" xfId="1" applyFont="1" applyFill="1" applyBorder="1" applyAlignment="1" applyProtection="1">
      <alignment horizontal="center" vertical="center"/>
    </xf>
    <xf numFmtId="168" fontId="69" fillId="8" borderId="6" xfId="0" applyNumberFormat="1" applyFont="1" applyFill="1" applyBorder="1" applyAlignment="1" applyProtection="1">
      <alignment horizontal="right" vertical="center"/>
      <protection locked="0"/>
    </xf>
    <xf numFmtId="168" fontId="69" fillId="8" borderId="8" xfId="0" applyNumberFormat="1" applyFont="1" applyFill="1" applyBorder="1" applyAlignment="1" applyProtection="1">
      <alignment horizontal="right" vertical="center"/>
      <protection locked="0"/>
    </xf>
    <xf numFmtId="9" fontId="11" fillId="43" borderId="0" xfId="1" applyFont="1" applyFill="1" applyBorder="1" applyAlignment="1" applyProtection="1">
      <alignment horizontal="center" vertical="center"/>
    </xf>
    <xf numFmtId="0" fontId="16" fillId="44" borderId="9" xfId="0" applyFont="1" applyFill="1" applyBorder="1" applyAlignment="1">
      <alignment horizontal="center" vertical="center" wrapText="1"/>
    </xf>
    <xf numFmtId="0" fontId="16" fillId="44" borderId="0" xfId="0" applyFont="1" applyFill="1" applyBorder="1" applyAlignment="1">
      <alignment horizontal="center" vertical="center" wrapText="1"/>
    </xf>
    <xf numFmtId="0" fontId="16" fillId="44" borderId="10" xfId="0" applyFont="1" applyFill="1" applyBorder="1" applyAlignment="1">
      <alignment horizontal="center" vertical="center" wrapText="1"/>
    </xf>
    <xf numFmtId="168" fontId="65" fillId="45" borderId="3" xfId="0" applyNumberFormat="1" applyFont="1" applyFill="1" applyBorder="1" applyAlignment="1" applyProtection="1">
      <alignment horizontal="right" vertical="center"/>
    </xf>
    <xf numFmtId="168" fontId="65" fillId="45" borderId="4" xfId="0" applyNumberFormat="1" applyFont="1" applyFill="1" applyBorder="1" applyAlignment="1" applyProtection="1">
      <alignment horizontal="right" vertical="center"/>
    </xf>
    <xf numFmtId="0" fontId="78" fillId="0" borderId="0" xfId="0" applyFont="1" applyAlignment="1">
      <alignment horizontal="center" vertical="center"/>
    </xf>
    <xf numFmtId="0" fontId="11" fillId="10" borderId="4" xfId="0" applyFont="1" applyFill="1" applyBorder="1" applyAlignment="1">
      <alignment horizontal="center" vertical="center"/>
    </xf>
    <xf numFmtId="0" fontId="11" fillId="10" borderId="15" xfId="0" applyFont="1" applyFill="1" applyBorder="1" applyAlignment="1">
      <alignment horizontal="center" vertical="center"/>
    </xf>
    <xf numFmtId="0" fontId="62" fillId="7" borderId="0" xfId="0" applyFont="1" applyFill="1" applyAlignment="1">
      <alignment horizontal="center" vertical="center" wrapText="1"/>
    </xf>
    <xf numFmtId="0" fontId="59" fillId="41" borderId="0" xfId="0" applyFont="1" applyFill="1" applyAlignment="1">
      <alignment horizontal="center" vertical="center" wrapText="1"/>
    </xf>
    <xf numFmtId="0" fontId="67" fillId="7" borderId="0" xfId="0" applyFont="1" applyFill="1" applyAlignment="1" applyProtection="1">
      <alignment horizontal="right"/>
      <protection hidden="1"/>
    </xf>
    <xf numFmtId="168" fontId="74" fillId="46" borderId="4" xfId="0" applyNumberFormat="1" applyFont="1" applyFill="1" applyBorder="1" applyAlignment="1" applyProtection="1">
      <alignment horizontal="right" vertical="center"/>
    </xf>
    <xf numFmtId="168" fontId="74" fillId="46" borderId="15" xfId="0" applyNumberFormat="1" applyFont="1" applyFill="1" applyBorder="1" applyAlignment="1" applyProtection="1">
      <alignment horizontal="right" vertical="center"/>
    </xf>
    <xf numFmtId="0" fontId="0" fillId="7" borderId="0" xfId="0" applyFill="1" applyAlignment="1">
      <alignment horizontal="center"/>
    </xf>
    <xf numFmtId="9" fontId="66" fillId="6" borderId="3" xfId="1" applyFont="1" applyFill="1" applyBorder="1" applyAlignment="1" applyProtection="1">
      <alignment horizontal="center" vertical="center"/>
    </xf>
    <xf numFmtId="9" fontId="66" fillId="6" borderId="4" xfId="1" applyFont="1" applyFill="1" applyBorder="1" applyAlignment="1" applyProtection="1">
      <alignment horizontal="center" vertical="center"/>
    </xf>
    <xf numFmtId="0" fontId="81" fillId="7" borderId="0" xfId="0" applyFont="1" applyFill="1" applyAlignment="1">
      <alignment horizontal="center" vertical="center"/>
    </xf>
    <xf numFmtId="0" fontId="86" fillId="7" borderId="0" xfId="0" applyFont="1" applyFill="1" applyAlignment="1" applyProtection="1">
      <alignment horizontal="right"/>
      <protection hidden="1"/>
    </xf>
    <xf numFmtId="0" fontId="76" fillId="7" borderId="0" xfId="0" applyFont="1" applyFill="1" applyAlignment="1">
      <alignment horizontal="center" vertical="center"/>
    </xf>
    <xf numFmtId="9" fontId="66" fillId="10" borderId="3" xfId="1" applyFont="1" applyFill="1" applyBorder="1" applyAlignment="1" applyProtection="1">
      <alignment horizontal="center" vertical="center"/>
    </xf>
    <xf numFmtId="9" fontId="66" fillId="10" borderId="4" xfId="1" applyFont="1" applyFill="1" applyBorder="1" applyAlignment="1" applyProtection="1">
      <alignment horizontal="center" vertical="center"/>
    </xf>
    <xf numFmtId="169" fontId="23" fillId="8" borderId="6" xfId="0" applyNumberFormat="1" applyFont="1" applyFill="1" applyBorder="1" applyAlignment="1" applyProtection="1">
      <alignment horizontal="center" vertical="center"/>
      <protection locked="0"/>
    </xf>
    <xf numFmtId="169" fontId="23" fillId="8" borderId="8" xfId="0" applyNumberFormat="1" applyFont="1" applyFill="1" applyBorder="1" applyAlignment="1" applyProtection="1">
      <alignment horizontal="center" vertical="center"/>
      <protection locked="0"/>
    </xf>
    <xf numFmtId="0" fontId="61" fillId="8" borderId="7" xfId="0" applyFont="1" applyFill="1" applyBorder="1" applyAlignment="1" applyProtection="1">
      <alignment horizontal="center" vertical="center"/>
      <protection locked="0"/>
    </xf>
    <xf numFmtId="0" fontId="61" fillId="8" borderId="8" xfId="0" applyFont="1" applyFill="1" applyBorder="1" applyAlignment="1" applyProtection="1">
      <alignment horizontal="center" vertical="center"/>
      <protection locked="0"/>
    </xf>
    <xf numFmtId="0" fontId="60" fillId="7" borderId="0" xfId="0" applyFont="1" applyFill="1" applyAlignment="1">
      <alignment horizontal="center" vertical="center"/>
    </xf>
    <xf numFmtId="0" fontId="17" fillId="20" borderId="11" xfId="0" applyFont="1" applyFill="1" applyBorder="1" applyAlignment="1">
      <alignment horizontal="center" vertical="center" wrapText="1"/>
    </xf>
    <xf numFmtId="0" fontId="17" fillId="20" borderId="13" xfId="0" applyFont="1" applyFill="1" applyBorder="1" applyAlignment="1">
      <alignment horizontal="center" vertical="center" wrapText="1"/>
    </xf>
    <xf numFmtId="0" fontId="17" fillId="20" borderId="14" xfId="0" applyFont="1" applyFill="1" applyBorder="1" applyAlignment="1">
      <alignment horizontal="center" vertical="center" wrapText="1"/>
    </xf>
    <xf numFmtId="0" fontId="61" fillId="8" borderId="6" xfId="0" applyFont="1" applyFill="1" applyBorder="1" applyAlignment="1" applyProtection="1">
      <alignment horizontal="center"/>
      <protection locked="0"/>
    </xf>
    <xf numFmtId="0" fontId="61" fillId="8" borderId="8" xfId="0" applyFont="1" applyFill="1" applyBorder="1" applyAlignment="1" applyProtection="1">
      <alignment horizontal="center"/>
      <protection locked="0"/>
    </xf>
    <xf numFmtId="0" fontId="58" fillId="7" borderId="32" xfId="0" applyFont="1" applyFill="1" applyBorder="1" applyAlignment="1">
      <alignment horizontal="center" vertical="center"/>
    </xf>
    <xf numFmtId="0" fontId="58" fillId="7" borderId="0" xfId="0" applyFont="1" applyFill="1" applyBorder="1" applyAlignment="1">
      <alignment horizontal="center" vertical="center"/>
    </xf>
    <xf numFmtId="9" fontId="11" fillId="6" borderId="0" xfId="1" applyFont="1" applyFill="1" applyBorder="1" applyAlignment="1" applyProtection="1">
      <alignment horizontal="center" vertical="center"/>
    </xf>
    <xf numFmtId="0" fontId="16" fillId="10" borderId="9"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10" xfId="0" applyFont="1" applyFill="1" applyBorder="1" applyAlignment="1">
      <alignment horizontal="center" vertical="center" wrapText="1"/>
    </xf>
    <xf numFmtId="9" fontId="17" fillId="10" borderId="0" xfId="1" applyFont="1" applyFill="1" applyBorder="1" applyAlignment="1" applyProtection="1">
      <alignment horizontal="center" vertical="center"/>
    </xf>
    <xf numFmtId="0" fontId="33" fillId="7" borderId="0" xfId="0" applyFont="1" applyFill="1" applyAlignment="1">
      <alignment horizontal="right" vertical="center"/>
    </xf>
    <xf numFmtId="0" fontId="10" fillId="7" borderId="0" xfId="7" applyFill="1" applyAlignment="1">
      <alignment horizontal="center" vertical="center" wrapText="1"/>
    </xf>
    <xf numFmtId="0" fontId="26" fillId="7" borderId="0" xfId="0" applyFont="1" applyFill="1" applyAlignment="1">
      <alignment horizontal="right" vertical="center"/>
    </xf>
    <xf numFmtId="0" fontId="34" fillId="7" borderId="0" xfId="0" applyFont="1" applyFill="1" applyAlignment="1">
      <alignment horizontal="right" vertical="center"/>
    </xf>
    <xf numFmtId="0" fontId="18" fillId="7" borderId="0" xfId="0" applyFont="1" applyFill="1" applyAlignment="1">
      <alignment horizontal="center" vertical="center" wrapText="1"/>
    </xf>
    <xf numFmtId="9" fontId="17" fillId="42" borderId="0" xfId="1" applyFont="1" applyFill="1" applyBorder="1" applyAlignment="1" applyProtection="1">
      <alignment horizontal="center" vertical="center"/>
    </xf>
    <xf numFmtId="9" fontId="17" fillId="42" borderId="10" xfId="1" applyFont="1" applyFill="1" applyBorder="1" applyAlignment="1" applyProtection="1">
      <alignment horizontal="center" vertical="center"/>
    </xf>
    <xf numFmtId="9" fontId="11" fillId="42" borderId="10" xfId="1" applyFont="1" applyFill="1" applyBorder="1" applyAlignment="1" applyProtection="1">
      <alignment horizontal="center" vertical="center"/>
    </xf>
    <xf numFmtId="168" fontId="20" fillId="8" borderId="6" xfId="0" applyNumberFormat="1" applyFont="1" applyFill="1" applyBorder="1" applyAlignment="1" applyProtection="1">
      <alignment horizontal="center" vertical="center"/>
      <protection locked="0"/>
    </xf>
    <xf numFmtId="168" fontId="20" fillId="8" borderId="7" xfId="0" applyNumberFormat="1" applyFont="1" applyFill="1" applyBorder="1" applyAlignment="1" applyProtection="1">
      <alignment horizontal="center" vertical="center"/>
      <protection locked="0"/>
    </xf>
    <xf numFmtId="168" fontId="20" fillId="8" borderId="8" xfId="0" applyNumberFormat="1" applyFont="1" applyFill="1" applyBorder="1" applyAlignment="1" applyProtection="1">
      <alignment horizontal="center" vertical="center"/>
      <protection locked="0"/>
    </xf>
    <xf numFmtId="168" fontId="49" fillId="20" borderId="6" xfId="0" applyNumberFormat="1" applyFont="1" applyFill="1" applyBorder="1" applyAlignment="1" applyProtection="1">
      <alignment horizontal="center" vertical="center"/>
      <protection locked="0"/>
    </xf>
    <xf numFmtId="168" fontId="49" fillId="20" borderId="7" xfId="0" applyNumberFormat="1" applyFont="1" applyFill="1" applyBorder="1" applyAlignment="1" applyProtection="1">
      <alignment horizontal="center" vertical="center"/>
      <protection locked="0"/>
    </xf>
    <xf numFmtId="168" fontId="49" fillId="20" borderId="8" xfId="0" applyNumberFormat="1" applyFont="1" applyFill="1" applyBorder="1" applyAlignment="1" applyProtection="1">
      <alignment horizontal="center" vertical="center"/>
      <protection locked="0"/>
    </xf>
    <xf numFmtId="168" fontId="49" fillId="20" borderId="6" xfId="0" applyNumberFormat="1" applyFont="1" applyFill="1" applyBorder="1" applyAlignment="1" applyProtection="1">
      <alignment horizontal="center" vertical="center"/>
    </xf>
    <xf numFmtId="168" fontId="49" fillId="20" borderId="7" xfId="0" applyNumberFormat="1" applyFont="1" applyFill="1" applyBorder="1" applyAlignment="1" applyProtection="1">
      <alignment horizontal="center" vertical="center"/>
    </xf>
    <xf numFmtId="168" fontId="49" fillId="20" borderId="8" xfId="0" applyNumberFormat="1" applyFont="1" applyFill="1" applyBorder="1" applyAlignment="1" applyProtection="1">
      <alignment horizontal="center" vertical="center"/>
    </xf>
    <xf numFmtId="0" fontId="1" fillId="7" borderId="0" xfId="0" applyFont="1" applyFill="1" applyAlignment="1">
      <alignment horizontal="center"/>
    </xf>
    <xf numFmtId="0" fontId="46" fillId="6" borderId="11" xfId="0" applyFont="1" applyFill="1" applyBorder="1" applyAlignment="1">
      <alignment horizontal="center" vertical="center" wrapText="1"/>
    </xf>
    <xf numFmtId="0" fontId="46" fillId="6" borderId="13" xfId="0" applyFont="1" applyFill="1" applyBorder="1" applyAlignment="1">
      <alignment horizontal="center" vertical="center" wrapText="1"/>
    </xf>
    <xf numFmtId="0" fontId="46" fillId="6" borderId="14" xfId="0" applyFont="1" applyFill="1" applyBorder="1" applyAlignment="1">
      <alignment horizontal="center" vertical="center" wrapText="1"/>
    </xf>
    <xf numFmtId="9" fontId="11" fillId="10" borderId="13" xfId="1" applyFont="1" applyFill="1" applyBorder="1" applyAlignment="1" applyProtection="1">
      <alignment horizontal="center" vertical="center"/>
    </xf>
    <xf numFmtId="9" fontId="11" fillId="10" borderId="14" xfId="1" applyFont="1" applyFill="1" applyBorder="1" applyAlignment="1" applyProtection="1">
      <alignment horizontal="center" vertical="center"/>
    </xf>
    <xf numFmtId="9" fontId="11" fillId="10" borderId="5" xfId="1" applyFont="1" applyFill="1" applyBorder="1" applyAlignment="1" applyProtection="1">
      <alignment horizontal="center" vertical="center"/>
    </xf>
    <xf numFmtId="9" fontId="11" fillId="10" borderId="17" xfId="1" applyFont="1" applyFill="1" applyBorder="1" applyAlignment="1" applyProtection="1">
      <alignment horizontal="center" vertical="center"/>
    </xf>
    <xf numFmtId="9" fontId="17" fillId="10" borderId="11" xfId="1" applyFont="1" applyFill="1" applyBorder="1" applyAlignment="1" applyProtection="1">
      <alignment horizontal="center" vertical="center"/>
    </xf>
    <xf numFmtId="9" fontId="17" fillId="10" borderId="14" xfId="1" applyFont="1" applyFill="1" applyBorder="1" applyAlignment="1" applyProtection="1">
      <alignment horizontal="center" vertical="center"/>
    </xf>
    <xf numFmtId="0" fontId="46" fillId="20" borderId="11" xfId="0" applyFont="1" applyFill="1" applyBorder="1" applyAlignment="1">
      <alignment horizontal="center" vertical="center" wrapText="1"/>
    </xf>
    <xf numFmtId="0" fontId="46" fillId="20" borderId="13" xfId="0" applyFont="1" applyFill="1" applyBorder="1" applyAlignment="1">
      <alignment horizontal="center" vertical="center" wrapText="1"/>
    </xf>
    <xf numFmtId="0" fontId="46" fillId="20" borderId="14" xfId="0" applyFont="1" applyFill="1" applyBorder="1" applyAlignment="1">
      <alignment horizontal="center" vertical="center" wrapText="1"/>
    </xf>
    <xf numFmtId="9" fontId="11" fillId="10" borderId="0" xfId="1" applyFont="1" applyFill="1" applyBorder="1" applyAlignment="1" applyProtection="1">
      <alignment horizontal="center" vertical="center"/>
    </xf>
    <xf numFmtId="0" fontId="57" fillId="40" borderId="11" xfId="0" applyFont="1" applyFill="1" applyBorder="1" applyAlignment="1">
      <alignment horizontal="center" vertical="center" wrapText="1"/>
    </xf>
    <xf numFmtId="0" fontId="57" fillId="40" borderId="14" xfId="0" applyFont="1" applyFill="1" applyBorder="1" applyAlignment="1">
      <alignment horizontal="center" vertical="center" wrapText="1"/>
    </xf>
    <xf numFmtId="0" fontId="57" fillId="40" borderId="13" xfId="0" applyFont="1" applyFill="1" applyBorder="1" applyAlignment="1">
      <alignment horizontal="center" vertical="center" wrapText="1"/>
    </xf>
    <xf numFmtId="0" fontId="57" fillId="37" borderId="9" xfId="0" applyFont="1" applyFill="1" applyBorder="1" applyAlignment="1">
      <alignment horizontal="center" vertical="center"/>
    </xf>
    <xf numFmtId="0" fontId="57" fillId="37" borderId="0" xfId="0" applyFont="1" applyFill="1" applyAlignment="1">
      <alignment horizontal="center" vertical="center"/>
    </xf>
    <xf numFmtId="0" fontId="62" fillId="7" borderId="0" xfId="0" applyFont="1" applyFill="1" applyAlignment="1">
      <alignment horizontal="left" vertical="center" wrapText="1"/>
    </xf>
    <xf numFmtId="0" fontId="1" fillId="7" borderId="12" xfId="0" applyFont="1" applyFill="1" applyBorder="1" applyAlignment="1">
      <alignment horizontal="center"/>
    </xf>
    <xf numFmtId="0" fontId="1" fillId="7" borderId="0" xfId="0" applyFont="1" applyFill="1" applyAlignment="1" applyProtection="1">
      <alignment horizontal="center"/>
      <protection hidden="1"/>
    </xf>
    <xf numFmtId="0" fontId="61" fillId="8" borderId="0" xfId="0" applyFont="1" applyFill="1" applyAlignment="1" applyProtection="1">
      <alignment horizontal="left"/>
      <protection locked="0"/>
    </xf>
    <xf numFmtId="9" fontId="46" fillId="11" borderId="13" xfId="1" applyFont="1" applyFill="1" applyBorder="1" applyAlignment="1" applyProtection="1">
      <alignment horizontal="right" vertical="center"/>
    </xf>
    <xf numFmtId="0" fontId="49" fillId="41" borderId="0" xfId="0" applyFont="1" applyFill="1" applyAlignment="1">
      <alignment horizontal="center" vertical="center"/>
    </xf>
    <xf numFmtId="9" fontId="17" fillId="10" borderId="13" xfId="1" applyFont="1" applyFill="1" applyBorder="1" applyAlignment="1" applyProtection="1">
      <alignment horizontal="center" vertical="center"/>
    </xf>
    <xf numFmtId="9" fontId="17" fillId="10" borderId="9" xfId="1" applyFont="1" applyFill="1" applyBorder="1" applyAlignment="1" applyProtection="1">
      <alignment horizontal="center" vertical="center"/>
    </xf>
    <xf numFmtId="9" fontId="17" fillId="10" borderId="10" xfId="1" applyFont="1" applyFill="1" applyBorder="1" applyAlignment="1" applyProtection="1">
      <alignment horizontal="center" vertical="center"/>
    </xf>
    <xf numFmtId="0" fontId="22" fillId="7" borderId="0" xfId="0" applyFont="1" applyFill="1" applyAlignment="1">
      <alignment horizontal="center"/>
    </xf>
    <xf numFmtId="9" fontId="46" fillId="11" borderId="0" xfId="1" applyFont="1" applyFill="1" applyBorder="1" applyAlignment="1" applyProtection="1">
      <alignment horizontal="right" vertical="center"/>
    </xf>
    <xf numFmtId="9" fontId="11" fillId="40" borderId="11" xfId="1" applyFont="1" applyFill="1" applyBorder="1" applyAlignment="1" applyProtection="1">
      <alignment horizontal="center" vertical="center"/>
    </xf>
    <xf numFmtId="9" fontId="11" fillId="40" borderId="13" xfId="1" applyFont="1" applyFill="1" applyBorder="1" applyAlignment="1" applyProtection="1">
      <alignment horizontal="center" vertical="center"/>
    </xf>
    <xf numFmtId="9" fontId="11" fillId="40" borderId="14" xfId="1" applyFont="1" applyFill="1" applyBorder="1" applyAlignment="1" applyProtection="1">
      <alignment horizontal="center" vertical="center"/>
    </xf>
    <xf numFmtId="9" fontId="11" fillId="40" borderId="16" xfId="1" applyFont="1" applyFill="1" applyBorder="1" applyAlignment="1" applyProtection="1">
      <alignment horizontal="center" vertical="center"/>
    </xf>
    <xf numFmtId="9" fontId="11" fillId="40" borderId="5" xfId="1" applyFont="1" applyFill="1" applyBorder="1" applyAlignment="1" applyProtection="1">
      <alignment horizontal="center" vertical="center"/>
    </xf>
    <xf numFmtId="9" fontId="11" fillId="40" borderId="17" xfId="1" applyFont="1" applyFill="1" applyBorder="1" applyAlignment="1" applyProtection="1">
      <alignment horizontal="center" vertical="center"/>
    </xf>
    <xf numFmtId="9" fontId="17" fillId="40" borderId="9" xfId="1" applyFont="1" applyFill="1" applyBorder="1" applyAlignment="1" applyProtection="1">
      <alignment horizontal="right" vertical="center"/>
    </xf>
    <xf numFmtId="9" fontId="17" fillId="40" borderId="0" xfId="1" applyFont="1" applyFill="1" applyBorder="1" applyAlignment="1" applyProtection="1">
      <alignment horizontal="right" vertical="center"/>
    </xf>
    <xf numFmtId="9" fontId="17" fillId="10" borderId="11" xfId="1" applyFont="1" applyFill="1" applyBorder="1" applyAlignment="1" applyProtection="1">
      <alignment horizontal="right" vertical="center"/>
    </xf>
    <xf numFmtId="9" fontId="17" fillId="10" borderId="13" xfId="1" applyFont="1" applyFill="1" applyBorder="1" applyAlignment="1" applyProtection="1">
      <alignment horizontal="right" vertical="center"/>
    </xf>
    <xf numFmtId="9" fontId="17" fillId="10" borderId="14" xfId="1" applyFont="1" applyFill="1" applyBorder="1" applyAlignment="1" applyProtection="1">
      <alignment horizontal="right" vertical="center"/>
    </xf>
    <xf numFmtId="0" fontId="57" fillId="11" borderId="31" xfId="0" applyFont="1" applyFill="1" applyBorder="1" applyAlignment="1">
      <alignment horizontal="center" vertical="center"/>
    </xf>
    <xf numFmtId="0" fontId="57" fillId="11" borderId="25" xfId="0" applyFont="1" applyFill="1" applyBorder="1" applyAlignment="1">
      <alignment horizontal="center" vertical="center"/>
    </xf>
    <xf numFmtId="167" fontId="9" fillId="6" borderId="4" xfId="5" applyFont="1" applyFill="1" applyBorder="1" applyAlignment="1">
      <alignment horizontal="center" vertical="center"/>
    </xf>
    <xf numFmtId="167" fontId="9" fillId="6" borderId="15" xfId="5" applyFont="1" applyFill="1" applyBorder="1" applyAlignment="1">
      <alignment horizontal="center" vertical="center"/>
    </xf>
    <xf numFmtId="0" fontId="4" fillId="2" borderId="11" xfId="2" applyFont="1" applyFill="1" applyBorder="1" applyAlignment="1">
      <alignment horizontal="center"/>
    </xf>
    <xf numFmtId="0" fontId="4" fillId="2" borderId="13" xfId="2" applyFont="1" applyFill="1" applyBorder="1" applyAlignment="1">
      <alignment horizontal="center"/>
    </xf>
    <xf numFmtId="0" fontId="4" fillId="2" borderId="9" xfId="2" applyFont="1" applyFill="1" applyBorder="1" applyAlignment="1">
      <alignment horizontal="center"/>
    </xf>
    <xf numFmtId="0" fontId="4" fillId="2" borderId="0" xfId="2" applyFont="1" applyFill="1" applyBorder="1" applyAlignment="1">
      <alignment horizontal="center"/>
    </xf>
    <xf numFmtId="0" fontId="4" fillId="0" borderId="13" xfId="2" applyFont="1" applyBorder="1" applyAlignment="1">
      <alignment horizontal="center"/>
    </xf>
    <xf numFmtId="0" fontId="4" fillId="0" borderId="14" xfId="2" applyFont="1" applyBorder="1" applyAlignment="1">
      <alignment horizontal="center"/>
    </xf>
    <xf numFmtId="0" fontId="4" fillId="3" borderId="0" xfId="2" applyFont="1" applyFill="1" applyBorder="1" applyAlignment="1">
      <alignment horizontal="center"/>
    </xf>
    <xf numFmtId="0" fontId="4" fillId="3" borderId="10" xfId="2" applyFont="1" applyFill="1" applyBorder="1" applyAlignment="1">
      <alignment horizontal="center"/>
    </xf>
    <xf numFmtId="167" fontId="9" fillId="6" borderId="0" xfId="5" applyFont="1" applyFill="1" applyBorder="1" applyAlignment="1">
      <alignment horizontal="center" vertical="center"/>
    </xf>
    <xf numFmtId="0" fontId="4" fillId="2" borderId="0" xfId="2" applyFont="1" applyFill="1" applyAlignment="1">
      <alignment horizontal="center"/>
    </xf>
    <xf numFmtId="0" fontId="4" fillId="3" borderId="0" xfId="2" applyFont="1" applyFill="1" applyAlignment="1">
      <alignment horizontal="center"/>
    </xf>
    <xf numFmtId="0" fontId="4" fillId="0" borderId="11" xfId="2" applyFont="1" applyBorder="1" applyAlignment="1">
      <alignment horizontal="center"/>
    </xf>
    <xf numFmtId="0" fontId="57" fillId="20" borderId="13" xfId="0" applyFont="1" applyFill="1" applyBorder="1" applyAlignment="1">
      <alignment horizontal="center"/>
    </xf>
    <xf numFmtId="0" fontId="57" fillId="20" borderId="14" xfId="0" applyFont="1" applyFill="1" applyBorder="1" applyAlignment="1">
      <alignment horizontal="center"/>
    </xf>
    <xf numFmtId="0" fontId="57" fillId="20" borderId="3" xfId="0" applyFont="1" applyFill="1" applyBorder="1" applyAlignment="1">
      <alignment horizontal="center"/>
    </xf>
    <xf numFmtId="0" fontId="57" fillId="20" borderId="4" xfId="0" applyFont="1" applyFill="1" applyBorder="1" applyAlignment="1">
      <alignment horizontal="center"/>
    </xf>
    <xf numFmtId="0" fontId="57" fillId="20" borderId="15" xfId="0" applyFont="1" applyFill="1" applyBorder="1" applyAlignment="1">
      <alignment horizontal="center"/>
    </xf>
    <xf numFmtId="0" fontId="57" fillId="40" borderId="11" xfId="0" applyFont="1" applyFill="1" applyBorder="1" applyAlignment="1">
      <alignment horizontal="center" vertical="center"/>
    </xf>
    <xf numFmtId="0" fontId="57" fillId="40" borderId="14" xfId="0" applyFont="1" applyFill="1" applyBorder="1" applyAlignment="1">
      <alignment horizontal="center" vertical="center"/>
    </xf>
    <xf numFmtId="0" fontId="57" fillId="40" borderId="9" xfId="0" applyFont="1" applyFill="1" applyBorder="1" applyAlignment="1">
      <alignment horizontal="center" vertical="center"/>
    </xf>
    <xf numFmtId="0" fontId="57" fillId="40" borderId="10" xfId="0" applyFont="1" applyFill="1" applyBorder="1" applyAlignment="1">
      <alignment horizontal="center" vertical="center"/>
    </xf>
    <xf numFmtId="0" fontId="57" fillId="39" borderId="3" xfId="0" applyFont="1" applyFill="1" applyBorder="1" applyAlignment="1">
      <alignment horizontal="center"/>
    </xf>
    <xf numFmtId="0" fontId="57" fillId="39" borderId="4" xfId="0" applyFont="1" applyFill="1" applyBorder="1" applyAlignment="1">
      <alignment horizontal="center"/>
    </xf>
    <xf numFmtId="0" fontId="57" fillId="39" borderId="13" xfId="0" applyFont="1" applyFill="1" applyBorder="1" applyAlignment="1">
      <alignment horizontal="center"/>
    </xf>
    <xf numFmtId="0" fontId="57" fillId="39" borderId="14" xfId="0" applyFont="1" applyFill="1" applyBorder="1" applyAlignment="1">
      <alignment horizontal="center"/>
    </xf>
    <xf numFmtId="0" fontId="16" fillId="39" borderId="11" xfId="0" applyFont="1" applyFill="1" applyBorder="1" applyAlignment="1">
      <alignment horizontal="center" vertical="center"/>
    </xf>
    <xf numFmtId="0" fontId="16" fillId="39" borderId="13" xfId="0" applyFont="1" applyFill="1" applyBorder="1" applyAlignment="1">
      <alignment horizontal="center" vertical="center"/>
    </xf>
    <xf numFmtId="0" fontId="16" fillId="39" borderId="14" xfId="0" applyFont="1" applyFill="1" applyBorder="1" applyAlignment="1">
      <alignment horizontal="center" vertical="center"/>
    </xf>
    <xf numFmtId="0" fontId="57" fillId="41" borderId="13" xfId="0" applyFont="1" applyFill="1" applyBorder="1" applyAlignment="1">
      <alignment horizontal="center"/>
    </xf>
    <xf numFmtId="0" fontId="57" fillId="41" borderId="14" xfId="0" applyFont="1" applyFill="1" applyBorder="1" applyAlignment="1">
      <alignment horizontal="center"/>
    </xf>
    <xf numFmtId="0" fontId="57" fillId="38" borderId="3" xfId="0" applyFont="1" applyFill="1" applyBorder="1" applyAlignment="1">
      <alignment horizontal="center"/>
    </xf>
    <xf numFmtId="0" fontId="57" fillId="38" borderId="4" xfId="0" applyFont="1" applyFill="1" applyBorder="1" applyAlignment="1">
      <alignment horizontal="center"/>
    </xf>
    <xf numFmtId="0" fontId="57" fillId="38" borderId="15" xfId="0" applyFont="1" applyFill="1" applyBorder="1" applyAlignment="1">
      <alignment horizontal="center"/>
    </xf>
    <xf numFmtId="0" fontId="57" fillId="38" borderId="13" xfId="0" applyFont="1" applyFill="1" applyBorder="1" applyAlignment="1">
      <alignment horizontal="center"/>
    </xf>
    <xf numFmtId="0" fontId="16" fillId="21" borderId="11" xfId="0" applyFont="1" applyFill="1" applyBorder="1" applyAlignment="1">
      <alignment horizontal="center" vertical="center"/>
    </xf>
    <xf numFmtId="0" fontId="16" fillId="21" borderId="13" xfId="0" applyFont="1" applyFill="1" applyBorder="1" applyAlignment="1">
      <alignment horizontal="center" vertical="center"/>
    </xf>
    <xf numFmtId="0" fontId="16" fillId="21" borderId="14" xfId="0" applyFont="1" applyFill="1" applyBorder="1" applyAlignment="1">
      <alignment horizontal="center" vertical="center"/>
    </xf>
    <xf numFmtId="171" fontId="55" fillId="25" borderId="11" xfId="2" applyNumberFormat="1" applyFont="1" applyFill="1" applyBorder="1" applyAlignment="1">
      <alignment horizontal="center"/>
    </xf>
    <xf numFmtId="171" fontId="55" fillId="25" borderId="14" xfId="2" applyNumberFormat="1" applyFont="1" applyFill="1" applyBorder="1" applyAlignment="1">
      <alignment horizontal="center"/>
    </xf>
    <xf numFmtId="0" fontId="57" fillId="9" borderId="11" xfId="0" applyFont="1" applyFill="1" applyBorder="1" applyAlignment="1">
      <alignment horizontal="center" vertical="center" wrapText="1"/>
    </xf>
    <xf numFmtId="0" fontId="57" fillId="9" borderId="14" xfId="0" applyFont="1" applyFill="1" applyBorder="1" applyAlignment="1">
      <alignment horizontal="center" vertical="center" wrapText="1"/>
    </xf>
    <xf numFmtId="0" fontId="0" fillId="7" borderId="24" xfId="0" applyFill="1" applyBorder="1" applyAlignment="1">
      <alignment horizontal="center" vertical="center"/>
    </xf>
    <xf numFmtId="0" fontId="0" fillId="7" borderId="25" xfId="0" applyFill="1" applyBorder="1" applyAlignment="1">
      <alignment horizontal="center" vertical="center"/>
    </xf>
    <xf numFmtId="0" fontId="0" fillId="7" borderId="14"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wrapText="1"/>
    </xf>
    <xf numFmtId="0" fontId="0" fillId="7" borderId="9" xfId="0" applyFill="1" applyBorder="1" applyAlignment="1">
      <alignment horizontal="center" vertical="center" wrapText="1"/>
    </xf>
    <xf numFmtId="9" fontId="46" fillId="10" borderId="16" xfId="1" applyFont="1" applyFill="1" applyBorder="1" applyAlignment="1" applyProtection="1">
      <alignment horizontal="right" vertical="center"/>
    </xf>
    <xf numFmtId="9" fontId="46" fillId="10" borderId="5" xfId="1" applyFont="1" applyFill="1" applyBorder="1" applyAlignment="1" applyProtection="1">
      <alignment horizontal="right" vertical="center"/>
    </xf>
    <xf numFmtId="9" fontId="46" fillId="10" borderId="17" xfId="1" applyFont="1" applyFill="1" applyBorder="1" applyAlignment="1" applyProtection="1">
      <alignment horizontal="right" vertical="center"/>
    </xf>
    <xf numFmtId="0" fontId="46" fillId="21" borderId="11" xfId="0" applyFont="1" applyFill="1" applyBorder="1" applyAlignment="1">
      <alignment horizontal="center" vertical="center" wrapText="1"/>
    </xf>
    <xf numFmtId="0" fontId="46" fillId="21" borderId="13" xfId="0" applyFont="1" applyFill="1" applyBorder="1" applyAlignment="1">
      <alignment horizontal="center" vertical="center" wrapText="1"/>
    </xf>
    <xf numFmtId="0" fontId="46" fillId="21" borderId="14" xfId="0" applyFont="1" applyFill="1" applyBorder="1" applyAlignment="1">
      <alignment horizontal="center" vertical="center" wrapText="1"/>
    </xf>
    <xf numFmtId="0" fontId="0" fillId="7" borderId="24" xfId="0" applyFill="1" applyBorder="1" applyAlignment="1">
      <alignment horizontal="center" vertical="center" wrapText="1"/>
    </xf>
    <xf numFmtId="9" fontId="11" fillId="27" borderId="11" xfId="1" applyFont="1" applyFill="1" applyBorder="1" applyAlignment="1" applyProtection="1">
      <alignment horizontal="center" vertical="center"/>
    </xf>
    <xf numFmtId="9" fontId="11" fillId="27" borderId="13" xfId="1" applyFont="1" applyFill="1" applyBorder="1" applyAlignment="1" applyProtection="1">
      <alignment horizontal="center" vertical="center"/>
    </xf>
    <xf numFmtId="9" fontId="11" fillId="27" borderId="14" xfId="1" applyFont="1" applyFill="1" applyBorder="1" applyAlignment="1" applyProtection="1">
      <alignment horizontal="center" vertical="center"/>
    </xf>
    <xf numFmtId="9" fontId="11" fillId="27" borderId="16" xfId="1" applyFont="1" applyFill="1" applyBorder="1" applyAlignment="1" applyProtection="1">
      <alignment horizontal="center" vertical="center"/>
    </xf>
    <xf numFmtId="9" fontId="11" fillId="27" borderId="5" xfId="1" applyFont="1" applyFill="1" applyBorder="1" applyAlignment="1" applyProtection="1">
      <alignment horizontal="center" vertical="center"/>
    </xf>
    <xf numFmtId="9" fontId="11" fillId="27" borderId="17" xfId="1" applyFont="1" applyFill="1" applyBorder="1" applyAlignment="1" applyProtection="1">
      <alignment horizontal="center" vertical="center"/>
    </xf>
    <xf numFmtId="0" fontId="51" fillId="36" borderId="0" xfId="0" applyFont="1" applyFill="1" applyAlignment="1">
      <alignment horizontal="center"/>
    </xf>
    <xf numFmtId="168" fontId="49" fillId="26" borderId="4" xfId="0" applyNumberFormat="1" applyFont="1" applyFill="1" applyBorder="1" applyAlignment="1" applyProtection="1">
      <alignment horizontal="center" vertical="center"/>
      <protection locked="0"/>
    </xf>
    <xf numFmtId="168" fontId="49" fillId="26" borderId="15" xfId="0" applyNumberFormat="1" applyFont="1" applyFill="1" applyBorder="1" applyAlignment="1" applyProtection="1">
      <alignment horizontal="center" vertical="center"/>
      <protection locked="0"/>
    </xf>
    <xf numFmtId="0" fontId="15" fillId="34" borderId="11" xfId="0" applyFont="1" applyFill="1" applyBorder="1" applyAlignment="1">
      <alignment horizontal="center"/>
    </xf>
    <xf numFmtId="0" fontId="15" fillId="34" borderId="14" xfId="0" applyFont="1" applyFill="1" applyBorder="1" applyAlignment="1">
      <alignment horizontal="center"/>
    </xf>
    <xf numFmtId="0" fontId="18" fillId="7" borderId="0" xfId="0" applyFont="1" applyFill="1" applyAlignment="1">
      <alignment horizontal="left" vertical="center" wrapText="1"/>
    </xf>
    <xf numFmtId="9" fontId="17" fillId="9" borderId="9" xfId="1" applyFont="1" applyFill="1" applyBorder="1" applyAlignment="1" applyProtection="1">
      <alignment horizontal="right" vertical="center"/>
    </xf>
    <xf numFmtId="9" fontId="17" fillId="9" borderId="0" xfId="1" applyFont="1" applyFill="1" applyBorder="1" applyAlignment="1" applyProtection="1">
      <alignment horizontal="right" vertical="center"/>
    </xf>
    <xf numFmtId="9" fontId="46" fillId="10" borderId="11" xfId="1" applyFont="1" applyFill="1" applyBorder="1" applyAlignment="1" applyProtection="1">
      <alignment horizontal="right" vertical="center"/>
    </xf>
    <xf numFmtId="9" fontId="46" fillId="10" borderId="13" xfId="1" applyFont="1" applyFill="1" applyBorder="1" applyAlignment="1" applyProtection="1">
      <alignment horizontal="right" vertical="center"/>
    </xf>
    <xf numFmtId="9" fontId="46" fillId="10" borderId="14" xfId="1" applyFont="1" applyFill="1" applyBorder="1" applyAlignment="1" applyProtection="1">
      <alignment horizontal="right" vertical="center"/>
    </xf>
    <xf numFmtId="168" fontId="20" fillId="8" borderId="6" xfId="0" applyNumberFormat="1" applyFont="1" applyFill="1" applyBorder="1" applyAlignment="1" applyProtection="1">
      <alignment horizontal="center" vertical="center"/>
      <protection hidden="1"/>
    </xf>
    <xf numFmtId="168" fontId="20" fillId="8" borderId="7" xfId="0" applyNumberFormat="1" applyFont="1" applyFill="1" applyBorder="1" applyAlignment="1" applyProtection="1">
      <alignment horizontal="center" vertical="center"/>
      <protection hidden="1"/>
    </xf>
    <xf numFmtId="168" fontId="20" fillId="8" borderId="8" xfId="0" applyNumberFormat="1" applyFont="1" applyFill="1" applyBorder="1" applyAlignment="1" applyProtection="1">
      <alignment horizontal="center" vertical="center"/>
      <protection hidden="1"/>
    </xf>
    <xf numFmtId="0" fontId="58" fillId="36" borderId="0" xfId="0" applyFont="1" applyFill="1" applyAlignment="1">
      <alignment horizontal="center" vertical="center"/>
    </xf>
    <xf numFmtId="0" fontId="57" fillId="9" borderId="13" xfId="0" applyFont="1" applyFill="1" applyBorder="1" applyAlignment="1">
      <alignment horizontal="center" vertical="center" wrapText="1"/>
    </xf>
    <xf numFmtId="0" fontId="32" fillId="7" borderId="0" xfId="0" applyFont="1" applyFill="1" applyAlignment="1">
      <alignment horizontal="right" vertical="center"/>
    </xf>
    <xf numFmtId="0" fontId="35" fillId="7" borderId="0" xfId="0" applyFont="1" applyFill="1" applyAlignment="1">
      <alignment horizontal="right" vertical="center"/>
    </xf>
    <xf numFmtId="0" fontId="16" fillId="7" borderId="0" xfId="0" applyFont="1" applyFill="1" applyAlignment="1">
      <alignment horizontal="center" vertical="center" wrapText="1"/>
    </xf>
    <xf numFmtId="0" fontId="21" fillId="7" borderId="0" xfId="0" applyFont="1" applyFill="1" applyAlignment="1">
      <alignment horizontal="right" vertical="center"/>
    </xf>
    <xf numFmtId="168" fontId="49" fillId="26" borderId="4" xfId="0" applyNumberFormat="1" applyFont="1" applyFill="1" applyBorder="1" applyAlignment="1" applyProtection="1">
      <alignment horizontal="left" vertical="center"/>
      <protection locked="0"/>
    </xf>
    <xf numFmtId="0" fontId="53" fillId="26" borderId="0" xfId="2" applyFont="1" applyFill="1" applyAlignment="1">
      <alignment horizontal="right"/>
    </xf>
    <xf numFmtId="0" fontId="0" fillId="0" borderId="0" xfId="0" applyAlignment="1">
      <alignment horizontal="center"/>
    </xf>
  </cellXfs>
  <cellStyles count="8">
    <cellStyle name="Excel Built-in Normal" xfId="5" xr:uid="{7E1809F8-727B-47D3-9A5A-4EDBA2AC295E}"/>
    <cellStyle name="Hyperlink" xfId="7" builtinId="8"/>
    <cellStyle name="Normal" xfId="0" builtinId="0"/>
    <cellStyle name="Normal 2" xfId="2" xr:uid="{FF3E15BB-6FA4-40BE-9B08-ECC01D3F1240}"/>
    <cellStyle name="Normal 2 2" xfId="6" xr:uid="{218CFBE1-D4CA-45AC-9898-8EAFC9633A47}"/>
    <cellStyle name="Normal 3" xfId="4" xr:uid="{33DA272B-E8E4-48FB-9796-9BE4708E2DFC}"/>
    <cellStyle name="Percent" xfId="1" builtinId="5"/>
    <cellStyle name="Percent 2" xfId="3" xr:uid="{7F108041-D9F9-4100-AE2A-83B89F974A7D}"/>
  </cellStyles>
  <dxfs count="26">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fill>
        <patternFill>
          <bgColor theme="9"/>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5D2884"/>
      <color rgb="FFE8D9F3"/>
      <color rgb="FFCDACE6"/>
      <color rgb="FFBD92DE"/>
      <color rgb="FFED7A2B"/>
      <color rgb="FFFFE7FA"/>
      <color rgb="FF000000"/>
      <color rgb="FFFFAFAF"/>
      <color rgb="FFFFD9D9"/>
      <color rgb="FFD8A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1.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1.png"/><Relationship Id="rId7"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1.png"/><Relationship Id="rId7" Type="http://schemas.openxmlformats.org/officeDocument/2006/relationships/image" Target="../media/image12.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1</xdr:col>
      <xdr:colOff>206375</xdr:colOff>
      <xdr:row>0</xdr:row>
      <xdr:rowOff>306161</xdr:rowOff>
    </xdr:from>
    <xdr:ext cx="1224806" cy="1214051"/>
    <xdr:pic>
      <xdr:nvPicPr>
        <xdr:cNvPr id="2" name="Picture 1">
          <a:extLst>
            <a:ext uri="{FF2B5EF4-FFF2-40B4-BE49-F238E27FC236}">
              <a16:creationId xmlns:a16="http://schemas.microsoft.com/office/drawing/2014/main" id="{55B61E43-297D-49BC-9427-3FF91CD137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8054" y="306161"/>
          <a:ext cx="1224806" cy="12140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514350</xdr:colOff>
      <xdr:row>0</xdr:row>
      <xdr:rowOff>47625</xdr:rowOff>
    </xdr:from>
    <xdr:ext cx="1224806" cy="1214051"/>
    <xdr:pic>
      <xdr:nvPicPr>
        <xdr:cNvPr id="4" name="Picture 3">
          <a:extLst>
            <a:ext uri="{FF2B5EF4-FFF2-40B4-BE49-F238E27FC236}">
              <a16:creationId xmlns:a16="http://schemas.microsoft.com/office/drawing/2014/main" id="{989CB331-399C-4C38-A9A7-80D5EFED274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4350" y="47625"/>
          <a:ext cx="1224806" cy="1214051"/>
        </a:xfrm>
        <a:prstGeom prst="rect">
          <a:avLst/>
        </a:prstGeom>
      </xdr:spPr>
    </xdr:pic>
    <xdr:clientData/>
  </xdr:oneCellAnchor>
  <xdr:twoCellAnchor editAs="oneCell">
    <xdr:from>
      <xdr:col>4</xdr:col>
      <xdr:colOff>38100</xdr:colOff>
      <xdr:row>12</xdr:row>
      <xdr:rowOff>66675</xdr:rowOff>
    </xdr:from>
    <xdr:to>
      <xdr:col>9</xdr:col>
      <xdr:colOff>754856</xdr:colOff>
      <xdr:row>15</xdr:row>
      <xdr:rowOff>41089</xdr:rowOff>
    </xdr:to>
    <xdr:pic>
      <xdr:nvPicPr>
        <xdr:cNvPr id="5" name="Picture 4">
          <a:extLst>
            <a:ext uri="{FF2B5EF4-FFF2-40B4-BE49-F238E27FC236}">
              <a16:creationId xmlns:a16="http://schemas.microsoft.com/office/drawing/2014/main" id="{C4917076-0A64-44EA-A480-14FBBDD879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00300" y="3200400"/>
          <a:ext cx="5619750" cy="5744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777875</xdr:colOff>
      <xdr:row>0</xdr:row>
      <xdr:rowOff>47625</xdr:rowOff>
    </xdr:from>
    <xdr:ext cx="1224806" cy="1214051"/>
    <xdr:pic>
      <xdr:nvPicPr>
        <xdr:cNvPr id="2" name="Picture 1">
          <a:extLst>
            <a:ext uri="{FF2B5EF4-FFF2-40B4-BE49-F238E27FC236}">
              <a16:creationId xmlns:a16="http://schemas.microsoft.com/office/drawing/2014/main" id="{2DD096DE-4BF7-4C9C-808A-7758DDF95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7875" y="47625"/>
          <a:ext cx="1224806" cy="121405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777875</xdr:colOff>
      <xdr:row>0</xdr:row>
      <xdr:rowOff>47625</xdr:rowOff>
    </xdr:from>
    <xdr:ext cx="1224806" cy="1214051"/>
    <xdr:pic>
      <xdr:nvPicPr>
        <xdr:cNvPr id="4" name="Picture 3">
          <a:extLst>
            <a:ext uri="{FF2B5EF4-FFF2-40B4-BE49-F238E27FC236}">
              <a16:creationId xmlns:a16="http://schemas.microsoft.com/office/drawing/2014/main" id="{CD19E374-A7AA-45BB-8821-1943A30EFF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7875" y="47625"/>
          <a:ext cx="1224806" cy="121405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34300</xdr:colOff>
      <xdr:row>53</xdr:row>
      <xdr:rowOff>45259</xdr:rowOff>
    </xdr:from>
    <xdr:to>
      <xdr:col>5</xdr:col>
      <xdr:colOff>1514</xdr:colOff>
      <xdr:row>59</xdr:row>
      <xdr:rowOff>60102</xdr:rowOff>
    </xdr:to>
    <xdr:pic>
      <xdr:nvPicPr>
        <xdr:cNvPr id="2" name="Picture 1">
          <a:extLst>
            <a:ext uri="{FF2B5EF4-FFF2-40B4-BE49-F238E27FC236}">
              <a16:creationId xmlns:a16="http://schemas.microsoft.com/office/drawing/2014/main" id="{105952F6-4EF1-417D-9F38-FB8F47FD6F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7500" y="11618134"/>
          <a:ext cx="2348464" cy="12149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56982</xdr:colOff>
      <xdr:row>54</xdr:row>
      <xdr:rowOff>60516</xdr:rowOff>
    </xdr:from>
    <xdr:to>
      <xdr:col>8</xdr:col>
      <xdr:colOff>334504</xdr:colOff>
      <xdr:row>59</xdr:row>
      <xdr:rowOff>125971</xdr:rowOff>
    </xdr:to>
    <xdr:pic>
      <xdr:nvPicPr>
        <xdr:cNvPr id="3" name="Picture 2">
          <a:extLst>
            <a:ext uri="{FF2B5EF4-FFF2-40B4-BE49-F238E27FC236}">
              <a16:creationId xmlns:a16="http://schemas.microsoft.com/office/drawing/2014/main" id="{9AAD2A54-0D9D-45EB-9A44-EDF75AA5FF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81432" y="11833416"/>
          <a:ext cx="2744497" cy="1065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742950</xdr:colOff>
      <xdr:row>0</xdr:row>
      <xdr:rowOff>47625</xdr:rowOff>
    </xdr:from>
    <xdr:ext cx="1224806" cy="1214051"/>
    <xdr:pic>
      <xdr:nvPicPr>
        <xdr:cNvPr id="4" name="Picture 3">
          <a:extLst>
            <a:ext uri="{FF2B5EF4-FFF2-40B4-BE49-F238E27FC236}">
              <a16:creationId xmlns:a16="http://schemas.microsoft.com/office/drawing/2014/main" id="{FA8EE1E2-B5C2-4621-88B8-4CB3B3AF9C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2950" y="47625"/>
          <a:ext cx="1224806" cy="1214051"/>
        </a:xfrm>
        <a:prstGeom prst="rect">
          <a:avLst/>
        </a:prstGeom>
      </xdr:spPr>
    </xdr:pic>
    <xdr:clientData/>
  </xdr:oneCellAnchor>
  <xdr:twoCellAnchor editAs="oneCell">
    <xdr:from>
      <xdr:col>3</xdr:col>
      <xdr:colOff>266796</xdr:colOff>
      <xdr:row>11</xdr:row>
      <xdr:rowOff>0</xdr:rowOff>
    </xdr:from>
    <xdr:to>
      <xdr:col>4</xdr:col>
      <xdr:colOff>904971</xdr:colOff>
      <xdr:row>17</xdr:row>
      <xdr:rowOff>7066</xdr:rowOff>
    </xdr:to>
    <xdr:pic>
      <xdr:nvPicPr>
        <xdr:cNvPr id="5" name="Picture 4">
          <a:extLst>
            <a:ext uri="{FF2B5EF4-FFF2-40B4-BE49-F238E27FC236}">
              <a16:creationId xmlns:a16="http://schemas.microsoft.com/office/drawing/2014/main" id="{AC6601DA-593C-4374-ABE7-8064B91D1D9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09996" y="2962275"/>
          <a:ext cx="1647825" cy="1340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1125682</xdr:colOff>
      <xdr:row>11</xdr:row>
      <xdr:rowOff>0</xdr:rowOff>
    </xdr:from>
    <xdr:to>
      <xdr:col>9</xdr:col>
      <xdr:colOff>561678</xdr:colOff>
      <xdr:row>15</xdr:row>
      <xdr:rowOff>312970</xdr:rowOff>
    </xdr:to>
    <xdr:pic>
      <xdr:nvPicPr>
        <xdr:cNvPr id="6" name="Picture 5">
          <a:extLst>
            <a:ext uri="{FF2B5EF4-FFF2-40B4-BE49-F238E27FC236}">
              <a16:creationId xmlns:a16="http://schemas.microsoft.com/office/drawing/2014/main" id="{F1C6D380-4E79-4E13-999E-CD4CB3502B0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878532" y="2962275"/>
          <a:ext cx="4246121" cy="1113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230908</xdr:colOff>
      <xdr:row>30</xdr:row>
      <xdr:rowOff>125076</xdr:rowOff>
    </xdr:from>
    <xdr:to>
      <xdr:col>8</xdr:col>
      <xdr:colOff>583238</xdr:colOff>
      <xdr:row>33</xdr:row>
      <xdr:rowOff>20013</xdr:rowOff>
    </xdr:to>
    <xdr:pic>
      <xdr:nvPicPr>
        <xdr:cNvPr id="7" name="Picture 6">
          <a:extLst>
            <a:ext uri="{FF2B5EF4-FFF2-40B4-BE49-F238E27FC236}">
              <a16:creationId xmlns:a16="http://schemas.microsoft.com/office/drawing/2014/main" id="{093751F7-8CF8-48B4-A111-7BE907176D0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74108" y="7021176"/>
          <a:ext cx="5200555" cy="49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615757</xdr:colOff>
      <xdr:row>37</xdr:row>
      <xdr:rowOff>28864</xdr:rowOff>
    </xdr:from>
    <xdr:to>
      <xdr:col>10</xdr:col>
      <xdr:colOff>377894</xdr:colOff>
      <xdr:row>42</xdr:row>
      <xdr:rowOff>11307</xdr:rowOff>
    </xdr:to>
    <xdr:pic>
      <xdr:nvPicPr>
        <xdr:cNvPr id="8" name="Picture 7">
          <a:extLst>
            <a:ext uri="{FF2B5EF4-FFF2-40B4-BE49-F238E27FC236}">
              <a16:creationId xmlns:a16="http://schemas.microsoft.com/office/drawing/2014/main" id="{0991F430-E54B-4A6D-938A-8EE100A048B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358957" y="8363239"/>
          <a:ext cx="6201037" cy="982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595371</xdr:colOff>
      <xdr:row>42</xdr:row>
      <xdr:rowOff>73447</xdr:rowOff>
    </xdr:from>
    <xdr:to>
      <xdr:col>4</xdr:col>
      <xdr:colOff>1259140</xdr:colOff>
      <xdr:row>48</xdr:row>
      <xdr:rowOff>1736</xdr:rowOff>
    </xdr:to>
    <xdr:pic>
      <xdr:nvPicPr>
        <xdr:cNvPr id="9" name="Picture 8">
          <a:extLst>
            <a:ext uri="{FF2B5EF4-FFF2-40B4-BE49-F238E27FC236}">
              <a16:creationId xmlns:a16="http://schemas.microsoft.com/office/drawing/2014/main" id="{3E059054-E184-4412-9073-942D28BA72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338571" y="9407947"/>
          <a:ext cx="1673419" cy="1128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185553</xdr:colOff>
      <xdr:row>22</xdr:row>
      <xdr:rowOff>86591</xdr:rowOff>
    </xdr:from>
    <xdr:to>
      <xdr:col>8</xdr:col>
      <xdr:colOff>544233</xdr:colOff>
      <xdr:row>24</xdr:row>
      <xdr:rowOff>182625</xdr:rowOff>
    </xdr:to>
    <xdr:pic>
      <xdr:nvPicPr>
        <xdr:cNvPr id="10" name="Picture 9">
          <a:extLst>
            <a:ext uri="{FF2B5EF4-FFF2-40B4-BE49-F238E27FC236}">
              <a16:creationId xmlns:a16="http://schemas.microsoft.com/office/drawing/2014/main" id="{67C7A62E-DDE5-424D-9BCA-9F460D6E366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928753" y="5382491"/>
          <a:ext cx="5206905" cy="496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34300</xdr:colOff>
      <xdr:row>53</xdr:row>
      <xdr:rowOff>45259</xdr:rowOff>
    </xdr:from>
    <xdr:to>
      <xdr:col>5</xdr:col>
      <xdr:colOff>1514</xdr:colOff>
      <xdr:row>59</xdr:row>
      <xdr:rowOff>60102</xdr:rowOff>
    </xdr:to>
    <xdr:pic>
      <xdr:nvPicPr>
        <xdr:cNvPr id="3" name="Picture 2">
          <a:extLst>
            <a:ext uri="{FF2B5EF4-FFF2-40B4-BE49-F238E27FC236}">
              <a16:creationId xmlns:a16="http://schemas.microsoft.com/office/drawing/2014/main" id="{82A16AB2-8F01-4E86-A022-5DD930CA08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7029" y="9315365"/>
          <a:ext cx="2345933" cy="1256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56982</xdr:colOff>
      <xdr:row>54</xdr:row>
      <xdr:rowOff>60516</xdr:rowOff>
    </xdr:from>
    <xdr:to>
      <xdr:col>8</xdr:col>
      <xdr:colOff>334504</xdr:colOff>
      <xdr:row>59</xdr:row>
      <xdr:rowOff>125971</xdr:rowOff>
    </xdr:to>
    <xdr:pic>
      <xdr:nvPicPr>
        <xdr:cNvPr id="4" name="Picture 3">
          <a:extLst>
            <a:ext uri="{FF2B5EF4-FFF2-40B4-BE49-F238E27FC236}">
              <a16:creationId xmlns:a16="http://schemas.microsoft.com/office/drawing/2014/main" id="{3D76D4EB-C2A8-4523-A34A-2D41CD95E3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60961" y="9518439"/>
          <a:ext cx="2732915" cy="1106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742950</xdr:colOff>
      <xdr:row>0</xdr:row>
      <xdr:rowOff>47625</xdr:rowOff>
    </xdr:from>
    <xdr:ext cx="1224806" cy="1214051"/>
    <xdr:pic>
      <xdr:nvPicPr>
        <xdr:cNvPr id="8" name="Picture 7">
          <a:extLst>
            <a:ext uri="{FF2B5EF4-FFF2-40B4-BE49-F238E27FC236}">
              <a16:creationId xmlns:a16="http://schemas.microsoft.com/office/drawing/2014/main" id="{EAF86B78-EBC8-40F2-8655-C8E442C38AA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2950" y="47625"/>
          <a:ext cx="1224806" cy="1214051"/>
        </a:xfrm>
        <a:prstGeom prst="rect">
          <a:avLst/>
        </a:prstGeom>
      </xdr:spPr>
    </xdr:pic>
    <xdr:clientData/>
  </xdr:oneCellAnchor>
  <xdr:twoCellAnchor editAs="oneCell">
    <xdr:from>
      <xdr:col>3</xdr:col>
      <xdr:colOff>266796</xdr:colOff>
      <xdr:row>11</xdr:row>
      <xdr:rowOff>0</xdr:rowOff>
    </xdr:from>
    <xdr:to>
      <xdr:col>4</xdr:col>
      <xdr:colOff>904971</xdr:colOff>
      <xdr:row>17</xdr:row>
      <xdr:rowOff>7066</xdr:rowOff>
    </xdr:to>
    <xdr:pic>
      <xdr:nvPicPr>
        <xdr:cNvPr id="7" name="Picture 6">
          <a:extLst>
            <a:ext uri="{FF2B5EF4-FFF2-40B4-BE49-F238E27FC236}">
              <a16:creationId xmlns:a16="http://schemas.microsoft.com/office/drawing/2014/main" id="{273D111F-1822-47D1-8BB3-130290A3C45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53160" y="2442153"/>
          <a:ext cx="1696508" cy="1305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1125682</xdr:colOff>
      <xdr:row>11</xdr:row>
      <xdr:rowOff>0</xdr:rowOff>
    </xdr:from>
    <xdr:to>
      <xdr:col>9</xdr:col>
      <xdr:colOff>561678</xdr:colOff>
      <xdr:row>15</xdr:row>
      <xdr:rowOff>312970</xdr:rowOff>
    </xdr:to>
    <xdr:pic>
      <xdr:nvPicPr>
        <xdr:cNvPr id="9" name="Picture 8">
          <a:extLst>
            <a:ext uri="{FF2B5EF4-FFF2-40B4-BE49-F238E27FC236}">
              <a16:creationId xmlns:a16="http://schemas.microsoft.com/office/drawing/2014/main" id="{D38E31C7-8360-433E-B425-F2F36E672A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070379" y="2443788"/>
          <a:ext cx="4467890" cy="1077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230908</xdr:colOff>
      <xdr:row>30</xdr:row>
      <xdr:rowOff>125076</xdr:rowOff>
    </xdr:from>
    <xdr:to>
      <xdr:col>8</xdr:col>
      <xdr:colOff>583238</xdr:colOff>
      <xdr:row>33</xdr:row>
      <xdr:rowOff>20013</xdr:rowOff>
    </xdr:to>
    <xdr:pic>
      <xdr:nvPicPr>
        <xdr:cNvPr id="11" name="Picture 10">
          <a:extLst>
            <a:ext uri="{FF2B5EF4-FFF2-40B4-BE49-F238E27FC236}">
              <a16:creationId xmlns:a16="http://schemas.microsoft.com/office/drawing/2014/main" id="{98261E4E-A3BE-4979-A7C9-2474E8868DA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17272" y="6580909"/>
          <a:ext cx="5416358" cy="472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615757</xdr:colOff>
      <xdr:row>37</xdr:row>
      <xdr:rowOff>28864</xdr:rowOff>
    </xdr:from>
    <xdr:to>
      <xdr:col>10</xdr:col>
      <xdr:colOff>377894</xdr:colOff>
      <xdr:row>42</xdr:row>
      <xdr:rowOff>11307</xdr:rowOff>
    </xdr:to>
    <xdr:pic>
      <xdr:nvPicPr>
        <xdr:cNvPr id="12" name="Picture 11">
          <a:extLst>
            <a:ext uri="{FF2B5EF4-FFF2-40B4-BE49-F238E27FC236}">
              <a16:creationId xmlns:a16="http://schemas.microsoft.com/office/drawing/2014/main" id="{E5A3353F-6EBD-4FFA-9625-4C7D90F295C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02121" y="10602576"/>
          <a:ext cx="6496985" cy="1010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595371</xdr:colOff>
      <xdr:row>42</xdr:row>
      <xdr:rowOff>73447</xdr:rowOff>
    </xdr:from>
    <xdr:to>
      <xdr:col>4</xdr:col>
      <xdr:colOff>1259140</xdr:colOff>
      <xdr:row>48</xdr:row>
      <xdr:rowOff>1736</xdr:rowOff>
    </xdr:to>
    <xdr:pic>
      <xdr:nvPicPr>
        <xdr:cNvPr id="13" name="Picture 12">
          <a:extLst>
            <a:ext uri="{FF2B5EF4-FFF2-40B4-BE49-F238E27FC236}">
              <a16:creationId xmlns:a16="http://schemas.microsoft.com/office/drawing/2014/main" id="{2660FCB6-CD35-4103-9223-94989D6832A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493117" y="9034996"/>
          <a:ext cx="1723593" cy="1132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185553</xdr:colOff>
      <xdr:row>22</xdr:row>
      <xdr:rowOff>86591</xdr:rowOff>
    </xdr:from>
    <xdr:to>
      <xdr:col>8</xdr:col>
      <xdr:colOff>544233</xdr:colOff>
      <xdr:row>24</xdr:row>
      <xdr:rowOff>182625</xdr:rowOff>
    </xdr:to>
    <xdr:pic>
      <xdr:nvPicPr>
        <xdr:cNvPr id="10" name="Picture 9">
          <a:extLst>
            <a:ext uri="{FF2B5EF4-FFF2-40B4-BE49-F238E27FC236}">
              <a16:creationId xmlns:a16="http://schemas.microsoft.com/office/drawing/2014/main" id="{AFEDA33F-FF9A-4773-9098-70BFFDCF11D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080163" y="5133604"/>
          <a:ext cx="5442639" cy="491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34300</xdr:colOff>
      <xdr:row>52</xdr:row>
      <xdr:rowOff>45259</xdr:rowOff>
    </xdr:from>
    <xdr:to>
      <xdr:col>5</xdr:col>
      <xdr:colOff>1514</xdr:colOff>
      <xdr:row>58</xdr:row>
      <xdr:rowOff>60102</xdr:rowOff>
    </xdr:to>
    <xdr:pic>
      <xdr:nvPicPr>
        <xdr:cNvPr id="2" name="Picture 1">
          <a:extLst>
            <a:ext uri="{FF2B5EF4-FFF2-40B4-BE49-F238E27FC236}">
              <a16:creationId xmlns:a16="http://schemas.microsoft.com/office/drawing/2014/main" id="{51209392-41E4-4EC5-9CA3-3EA866ADE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7200" y="11659409"/>
          <a:ext cx="2465939" cy="1211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56982</xdr:colOff>
      <xdr:row>53</xdr:row>
      <xdr:rowOff>60516</xdr:rowOff>
    </xdr:from>
    <xdr:to>
      <xdr:col>8</xdr:col>
      <xdr:colOff>334504</xdr:colOff>
      <xdr:row>58</xdr:row>
      <xdr:rowOff>125971</xdr:rowOff>
    </xdr:to>
    <xdr:pic>
      <xdr:nvPicPr>
        <xdr:cNvPr id="3" name="Picture 2">
          <a:extLst>
            <a:ext uri="{FF2B5EF4-FFF2-40B4-BE49-F238E27FC236}">
              <a16:creationId xmlns:a16="http://schemas.microsoft.com/office/drawing/2014/main" id="{55C97640-9704-4096-96EC-EB5ACDFA45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38607" y="11874691"/>
          <a:ext cx="2865147" cy="1059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742950</xdr:colOff>
      <xdr:row>0</xdr:row>
      <xdr:rowOff>47625</xdr:rowOff>
    </xdr:from>
    <xdr:ext cx="1224806" cy="1214051"/>
    <xdr:pic>
      <xdr:nvPicPr>
        <xdr:cNvPr id="4" name="Picture 3">
          <a:extLst>
            <a:ext uri="{FF2B5EF4-FFF2-40B4-BE49-F238E27FC236}">
              <a16:creationId xmlns:a16="http://schemas.microsoft.com/office/drawing/2014/main" id="{94AB127B-6D8B-4FF2-9C6A-C94DBB0914F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42950" y="44450"/>
          <a:ext cx="1224806" cy="1214051"/>
        </a:xfrm>
        <a:prstGeom prst="rect">
          <a:avLst/>
        </a:prstGeom>
      </xdr:spPr>
    </xdr:pic>
    <xdr:clientData/>
  </xdr:oneCellAnchor>
  <xdr:twoCellAnchor editAs="oneCell">
    <xdr:from>
      <xdr:col>3</xdr:col>
      <xdr:colOff>230908</xdr:colOff>
      <xdr:row>29</xdr:row>
      <xdr:rowOff>125076</xdr:rowOff>
    </xdr:from>
    <xdr:to>
      <xdr:col>8</xdr:col>
      <xdr:colOff>583238</xdr:colOff>
      <xdr:row>32</xdr:row>
      <xdr:rowOff>20013</xdr:rowOff>
    </xdr:to>
    <xdr:pic>
      <xdr:nvPicPr>
        <xdr:cNvPr id="7" name="Picture 6">
          <a:extLst>
            <a:ext uri="{FF2B5EF4-FFF2-40B4-BE49-F238E27FC236}">
              <a16:creationId xmlns:a16="http://schemas.microsoft.com/office/drawing/2014/main" id="{16F8B0B4-07CD-43DE-9E09-5D66E53C1F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16983" y="7056101"/>
          <a:ext cx="5435505" cy="498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185553</xdr:colOff>
      <xdr:row>21</xdr:row>
      <xdr:rowOff>86591</xdr:rowOff>
    </xdr:from>
    <xdr:to>
      <xdr:col>8</xdr:col>
      <xdr:colOff>544233</xdr:colOff>
      <xdr:row>23</xdr:row>
      <xdr:rowOff>182624</xdr:rowOff>
    </xdr:to>
    <xdr:pic>
      <xdr:nvPicPr>
        <xdr:cNvPr id="10" name="Picture 9">
          <a:extLst>
            <a:ext uri="{FF2B5EF4-FFF2-40B4-BE49-F238E27FC236}">
              <a16:creationId xmlns:a16="http://schemas.microsoft.com/office/drawing/2014/main" id="{41E7F8E7-B1CA-47B7-A35C-3AA2016693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68453" y="5417416"/>
          <a:ext cx="5445030" cy="496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979868</xdr:colOff>
      <xdr:row>11</xdr:row>
      <xdr:rowOff>9747</xdr:rowOff>
    </xdr:from>
    <xdr:to>
      <xdr:col>9</xdr:col>
      <xdr:colOff>29407</xdr:colOff>
      <xdr:row>14</xdr:row>
      <xdr:rowOff>268310</xdr:rowOff>
    </xdr:to>
    <xdr:pic>
      <xdr:nvPicPr>
        <xdr:cNvPr id="11" name="Picture 10">
          <a:extLst>
            <a:ext uri="{FF2B5EF4-FFF2-40B4-BE49-F238E27FC236}">
              <a16:creationId xmlns:a16="http://schemas.microsoft.com/office/drawing/2014/main" id="{2F248330-A420-4EE8-9600-21758E165C1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937438" y="3242881"/>
          <a:ext cx="4093765" cy="862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392225</xdr:colOff>
      <xdr:row>10</xdr:row>
      <xdr:rowOff>10240</xdr:rowOff>
    </xdr:from>
    <xdr:to>
      <xdr:col>4</xdr:col>
      <xdr:colOff>532853</xdr:colOff>
      <xdr:row>14</xdr:row>
      <xdr:rowOff>183210</xdr:rowOff>
    </xdr:to>
    <xdr:pic>
      <xdr:nvPicPr>
        <xdr:cNvPr id="12" name="Picture 11">
          <a:extLst>
            <a:ext uri="{FF2B5EF4-FFF2-40B4-BE49-F238E27FC236}">
              <a16:creationId xmlns:a16="http://schemas.microsoft.com/office/drawing/2014/main" id="{C4AB067C-88C8-45ED-812F-AC4127CE8F9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89971" y="3042141"/>
          <a:ext cx="1200452" cy="977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761999</xdr:colOff>
      <xdr:row>36</xdr:row>
      <xdr:rowOff>76200</xdr:rowOff>
    </xdr:from>
    <xdr:to>
      <xdr:col>15</xdr:col>
      <xdr:colOff>190500</xdr:colOff>
      <xdr:row>41</xdr:row>
      <xdr:rowOff>89330</xdr:rowOff>
    </xdr:to>
    <xdr:pic>
      <xdr:nvPicPr>
        <xdr:cNvPr id="13" name="Picture 12">
          <a:extLst>
            <a:ext uri="{FF2B5EF4-FFF2-40B4-BE49-F238E27FC236}">
              <a16:creationId xmlns:a16="http://schemas.microsoft.com/office/drawing/2014/main" id="{DC96B7E4-729A-4C5D-82E1-4D157CAFC3B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05199" y="8172450"/>
          <a:ext cx="6477001" cy="1013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723901</xdr:colOff>
      <xdr:row>41</xdr:row>
      <xdr:rowOff>152400</xdr:rowOff>
    </xdr:from>
    <xdr:to>
      <xdr:col>4</xdr:col>
      <xdr:colOff>1330953</xdr:colOff>
      <xdr:row>47</xdr:row>
      <xdr:rowOff>28575</xdr:rowOff>
    </xdr:to>
    <xdr:pic>
      <xdr:nvPicPr>
        <xdr:cNvPr id="14" name="Picture 13">
          <a:extLst>
            <a:ext uri="{FF2B5EF4-FFF2-40B4-BE49-F238E27FC236}">
              <a16:creationId xmlns:a16="http://schemas.microsoft.com/office/drawing/2014/main" id="{01318AD4-94B6-4521-BC27-407C40A1AA8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467101" y="9248775"/>
          <a:ext cx="1616702"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hyperlink" Target="https://compte.laposte.fr/fo/v1/login" TargetMode="External"/><Relationship Id="rId7" Type="http://schemas.openxmlformats.org/officeDocument/2006/relationships/drawing" Target="../drawings/drawing7.xml"/><Relationship Id="rId2" Type="http://schemas.openxmlformats.org/officeDocument/2006/relationships/hyperlink" Target="https://www.amadeus-trp.com/" TargetMode="External"/><Relationship Id="rId1" Type="http://schemas.openxmlformats.org/officeDocument/2006/relationships/hyperlink" Target="https://www.amadeus-trp.com/" TargetMode="External"/><Relationship Id="rId6" Type="http://schemas.openxmlformats.org/officeDocument/2006/relationships/printerSettings" Target="../printerSettings/printerSettings10.bin"/><Relationship Id="rId5" Type="http://schemas.openxmlformats.org/officeDocument/2006/relationships/hyperlink" Target="https://sapportal.amadeus.net/irj/portal" TargetMode="External"/><Relationship Id="rId4" Type="http://schemas.openxmlformats.org/officeDocument/2006/relationships/hyperlink" Target="https://compte.laposte.fr/fo/v1/login"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fdt-1a.fr/newsletter-112-augmentations-bonus-enquete-logement-bulletin-de-paie-et-identification-cse/" TargetMode="External"/><Relationship Id="rId2" Type="http://schemas.openxmlformats.org/officeDocument/2006/relationships/hyperlink" Target="https://secure.digiposte.fr/identification-plus" TargetMode="External"/><Relationship Id="rId1" Type="http://schemas.openxmlformats.org/officeDocument/2006/relationships/hyperlink" Target="https://secure.digiposte.fr/identification-plu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amadeus-trp.com/" TargetMode="External"/><Relationship Id="rId7" Type="http://schemas.openxmlformats.org/officeDocument/2006/relationships/drawing" Target="../drawings/drawing5.xml"/><Relationship Id="rId2" Type="http://schemas.openxmlformats.org/officeDocument/2006/relationships/hyperlink" Target="https://www.amadeus-trp.com/" TargetMode="External"/><Relationship Id="rId1" Type="http://schemas.openxmlformats.org/officeDocument/2006/relationships/hyperlink" Target="https://sapportal.amadeus.net/irj/portal" TargetMode="External"/><Relationship Id="rId6" Type="http://schemas.openxmlformats.org/officeDocument/2006/relationships/printerSettings" Target="../printerSettings/printerSettings8.bin"/><Relationship Id="rId5" Type="http://schemas.openxmlformats.org/officeDocument/2006/relationships/hyperlink" Target="https://compte.laposte.fr/fo/v1/login" TargetMode="External"/><Relationship Id="rId4" Type="http://schemas.openxmlformats.org/officeDocument/2006/relationships/hyperlink" Target="https://compte.laposte.fr/fo/v1/login"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amadeus-trp.com/" TargetMode="External"/><Relationship Id="rId7" Type="http://schemas.openxmlformats.org/officeDocument/2006/relationships/drawing" Target="../drawings/drawing6.xml"/><Relationship Id="rId2" Type="http://schemas.openxmlformats.org/officeDocument/2006/relationships/hyperlink" Target="https://www.amadeus-trp.com/" TargetMode="External"/><Relationship Id="rId1" Type="http://schemas.openxmlformats.org/officeDocument/2006/relationships/hyperlink" Target="https://sapportal.amadeus.net/irj/portal" TargetMode="External"/><Relationship Id="rId6" Type="http://schemas.openxmlformats.org/officeDocument/2006/relationships/printerSettings" Target="../printerSettings/printerSettings9.bin"/><Relationship Id="rId5" Type="http://schemas.openxmlformats.org/officeDocument/2006/relationships/hyperlink" Target="https://compte.laposte.fr/fo/v1/login" TargetMode="External"/><Relationship Id="rId4" Type="http://schemas.openxmlformats.org/officeDocument/2006/relationships/hyperlink" Target="https://compte.laposte.fr/fo/v1/logi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0E02-11C3-479B-A55B-3C3E54F212B1}">
  <dimension ref="A1:X63"/>
  <sheetViews>
    <sheetView topLeftCell="A13" zoomScale="70" zoomScaleNormal="70" workbookViewId="0">
      <selection activeCell="G12" sqref="G12:H12"/>
    </sheetView>
  </sheetViews>
  <sheetFormatPr defaultRowHeight="15" x14ac:dyDescent="0.25"/>
  <cols>
    <col min="1" max="2" width="13.7109375" style="17" customWidth="1"/>
    <col min="3" max="3" width="22.5703125" style="17" customWidth="1"/>
    <col min="4" max="4" width="18" customWidth="1"/>
    <col min="5" max="5" width="16" customWidth="1"/>
    <col min="6" max="6" width="14" customWidth="1"/>
    <col min="7" max="7" width="13.140625" customWidth="1"/>
    <col min="8" max="8" width="16.42578125" customWidth="1"/>
    <col min="9" max="9" width="18.7109375" customWidth="1"/>
    <col min="10" max="10" width="23.28515625" customWidth="1"/>
    <col min="11" max="11" width="19.42578125" customWidth="1"/>
    <col min="12" max="12" width="13.85546875" customWidth="1"/>
    <col min="13" max="13" width="14.28515625" customWidth="1"/>
    <col min="14" max="14" width="13" hidden="1" customWidth="1"/>
    <col min="15" max="17" width="22.5703125" hidden="1" customWidth="1"/>
    <col min="18" max="18" width="9.42578125" hidden="1" customWidth="1"/>
    <col min="19" max="19" width="24.42578125" hidden="1" customWidth="1"/>
    <col min="20" max="22" width="9.140625" hidden="1" customWidth="1"/>
    <col min="23" max="23" width="21.5703125" hidden="1" customWidth="1"/>
    <col min="24" max="24" width="15.85546875" hidden="1" customWidth="1"/>
  </cols>
  <sheetData>
    <row r="1" spans="1:13" s="513" customFormat="1" ht="48" customHeight="1" x14ac:dyDescent="0.25">
      <c r="A1" s="17"/>
      <c r="B1" s="17"/>
      <c r="C1" s="17"/>
      <c r="D1" s="577" t="s">
        <v>320</v>
      </c>
      <c r="E1" s="577"/>
      <c r="F1" s="577"/>
      <c r="G1" s="577"/>
      <c r="H1" s="577"/>
      <c r="I1" s="577"/>
      <c r="J1" s="577"/>
      <c r="K1" s="31" t="s">
        <v>265</v>
      </c>
      <c r="L1" s="519"/>
      <c r="M1" s="519"/>
    </row>
    <row r="2" spans="1:13" s="513" customFormat="1" ht="21.6" customHeight="1" x14ac:dyDescent="0.25">
      <c r="A2" s="17"/>
      <c r="B2" s="17"/>
      <c r="C2" s="17"/>
      <c r="D2" s="576" t="str">
        <f>Aide!D1</f>
        <v>Le simulateur ne prend pas en compte les astreintes ni les indemnités de congés payés des 12 derniers mois. Ceci pourrait avoir une incidence sur les estimations du simulateur</v>
      </c>
      <c r="E2" s="576"/>
      <c r="F2" s="576"/>
      <c r="G2" s="576"/>
      <c r="H2" s="576"/>
      <c r="I2" s="576"/>
      <c r="J2" s="576"/>
      <c r="K2" s="17"/>
    </row>
    <row r="3" spans="1:13" s="513" customFormat="1" ht="21" customHeight="1" x14ac:dyDescent="0.25">
      <c r="A3" s="17"/>
      <c r="B3" s="17"/>
      <c r="C3" s="17"/>
      <c r="D3" s="576"/>
      <c r="E3" s="576"/>
      <c r="F3" s="576"/>
      <c r="G3" s="576"/>
      <c r="H3" s="576"/>
      <c r="I3" s="576"/>
      <c r="J3" s="576"/>
      <c r="K3" s="17"/>
    </row>
    <row r="4" spans="1:13" s="513" customFormat="1" ht="18" customHeight="1" x14ac:dyDescent="0.25">
      <c r="A4" s="17"/>
      <c r="B4" s="17"/>
      <c r="C4" s="17"/>
      <c r="D4" s="576"/>
      <c r="E4" s="576"/>
      <c r="F4" s="576"/>
      <c r="G4" s="576"/>
      <c r="H4" s="576"/>
      <c r="I4" s="576"/>
      <c r="J4" s="576"/>
      <c r="K4" s="17"/>
    </row>
    <row r="5" spans="1:13" s="513" customFormat="1" ht="65.25" customHeight="1" thickBot="1" x14ac:dyDescent="0.45">
      <c r="A5" s="545" t="s">
        <v>4</v>
      </c>
      <c r="B5" s="545"/>
      <c r="C5" s="545"/>
      <c r="D5" s="546" t="str">
        <f>Aide!D4</f>
        <v>Contactez vos élues CFDT pour faire une simulation plus poussée et vous accompagner dans vos démarches</v>
      </c>
      <c r="E5" s="546"/>
      <c r="F5" s="546"/>
      <c r="G5" s="546"/>
      <c r="H5" s="546"/>
      <c r="I5" s="546"/>
      <c r="J5" s="546"/>
      <c r="K5" s="17"/>
    </row>
    <row r="6" spans="1:13" s="513" customFormat="1" ht="21" customHeight="1" thickBot="1" x14ac:dyDescent="0.45">
      <c r="A6" s="545" t="s">
        <v>305</v>
      </c>
      <c r="B6" s="545"/>
      <c r="C6" s="545"/>
      <c r="D6" s="17"/>
      <c r="E6" s="17"/>
      <c r="F6" s="534" t="s">
        <v>311</v>
      </c>
      <c r="G6" s="17"/>
      <c r="H6" s="589" t="s">
        <v>312</v>
      </c>
      <c r="I6" s="590"/>
      <c r="J6" s="17"/>
      <c r="K6" s="373"/>
      <c r="L6" s="467"/>
    </row>
    <row r="7" spans="1:13" s="513" customFormat="1" ht="12" customHeight="1" x14ac:dyDescent="0.4">
      <c r="A7" s="497"/>
      <c r="B7" s="497"/>
      <c r="C7" s="497"/>
      <c r="D7" s="20"/>
      <c r="E7" s="372"/>
      <c r="F7" s="20"/>
      <c r="G7" s="17"/>
      <c r="H7" s="17"/>
      <c r="I7" s="17"/>
      <c r="J7" s="17"/>
      <c r="K7" s="17"/>
    </row>
    <row r="8" spans="1:13" ht="9" customHeight="1" thickBot="1" x14ac:dyDescent="0.4">
      <c r="A8" s="505"/>
      <c r="B8" s="505"/>
      <c r="C8" s="505"/>
      <c r="D8" s="505"/>
      <c r="E8" s="506"/>
      <c r="F8" s="507"/>
      <c r="G8" s="507"/>
      <c r="H8" s="507"/>
      <c r="I8" s="505"/>
      <c r="J8" s="505"/>
      <c r="K8" s="508"/>
    </row>
    <row r="9" spans="1:13" s="513" customFormat="1" ht="32.25" customHeight="1" thickBot="1" x14ac:dyDescent="0.3">
      <c r="A9" s="584" t="s">
        <v>19</v>
      </c>
      <c r="B9" s="584"/>
      <c r="C9" s="584"/>
      <c r="D9" s="582" t="s">
        <v>321</v>
      </c>
      <c r="E9" s="583"/>
      <c r="F9" s="583"/>
      <c r="G9" s="583"/>
      <c r="H9" s="512" t="s">
        <v>9</v>
      </c>
      <c r="I9" s="591" t="s">
        <v>294</v>
      </c>
      <c r="J9" s="592"/>
      <c r="K9" s="17"/>
    </row>
    <row r="10" spans="1:13" s="513" customFormat="1" ht="12" customHeight="1" x14ac:dyDescent="0.25">
      <c r="A10" s="496"/>
      <c r="B10" s="496"/>
      <c r="C10" s="496"/>
      <c r="D10" s="520"/>
      <c r="E10" s="520"/>
      <c r="F10" s="520"/>
      <c r="G10" s="520"/>
      <c r="H10" s="520"/>
      <c r="I10" s="520"/>
      <c r="J10" s="520"/>
      <c r="K10" s="17"/>
    </row>
    <row r="11" spans="1:13" s="513" customFormat="1" ht="27" customHeight="1" thickBot="1" x14ac:dyDescent="0.3">
      <c r="A11" s="496"/>
      <c r="B11" s="496"/>
      <c r="C11" s="496"/>
      <c r="D11" s="520"/>
      <c r="E11" s="520"/>
      <c r="F11" s="520"/>
      <c r="G11" s="521" t="s">
        <v>299</v>
      </c>
      <c r="H11" s="522"/>
      <c r="I11" s="520"/>
      <c r="J11" s="520"/>
      <c r="K11" s="17"/>
    </row>
    <row r="12" spans="1:13" s="513" customFormat="1" ht="27" thickBot="1" x14ac:dyDescent="0.4">
      <c r="A12" s="496"/>
      <c r="B12" s="496"/>
      <c r="C12" s="373" t="s">
        <v>14</v>
      </c>
      <c r="D12" s="597" t="s">
        <v>24</v>
      </c>
      <c r="E12" s="598"/>
      <c r="F12" s="520"/>
      <c r="G12" s="565">
        <v>0</v>
      </c>
      <c r="H12" s="566"/>
      <c r="I12" s="523" t="s">
        <v>244</v>
      </c>
      <c r="J12" s="520"/>
      <c r="K12" s="17"/>
    </row>
    <row r="13" spans="1:13" s="513" customFormat="1" ht="27" thickBot="1" x14ac:dyDescent="0.4">
      <c r="A13" s="496"/>
      <c r="B13" s="496"/>
      <c r="C13" s="373" t="s">
        <v>274</v>
      </c>
      <c r="D13" s="597" t="s">
        <v>291</v>
      </c>
      <c r="E13" s="598"/>
      <c r="F13" s="520"/>
      <c r="G13" s="565">
        <v>0</v>
      </c>
      <c r="H13" s="566"/>
      <c r="I13" s="523" t="str">
        <f>IF(D13=P27,Q27,IF(D13=P28,Q28,Q26))</f>
        <v>pas pris en compte</v>
      </c>
      <c r="J13" s="520"/>
      <c r="K13" s="17"/>
    </row>
    <row r="14" spans="1:13" s="513" customFormat="1" ht="24" thickBot="1" x14ac:dyDescent="0.4">
      <c r="A14" s="496"/>
      <c r="B14" s="496"/>
      <c r="C14" s="373" t="s">
        <v>7</v>
      </c>
      <c r="D14" s="453" t="s">
        <v>17</v>
      </c>
      <c r="E14" s="599" t="str">
        <f>IF(D14=R19,S19,IF(D14=R20,S20,S21))</f>
        <v>Modalité Standard</v>
      </c>
      <c r="F14" s="600"/>
      <c r="G14" s="520" t="str">
        <f>IF(D14=R19,T19,IF(D14=R20,T20,T21))</f>
        <v>35h / semaine (avec badgeage), 0 RTT</v>
      </c>
      <c r="H14" s="17"/>
      <c r="I14" s="17"/>
      <c r="J14" s="520"/>
      <c r="K14" s="17"/>
    </row>
    <row r="15" spans="1:13" s="513" customFormat="1" ht="24" customHeight="1" x14ac:dyDescent="0.25">
      <c r="A15" s="496"/>
      <c r="B15" s="496"/>
      <c r="C15" s="496"/>
      <c r="D15" s="17"/>
      <c r="E15" s="593" t="s">
        <v>254</v>
      </c>
      <c r="F15" s="593"/>
      <c r="G15" s="520" t="s">
        <v>255</v>
      </c>
      <c r="H15" s="17"/>
      <c r="I15" s="520"/>
      <c r="J15" s="520"/>
      <c r="K15" s="17"/>
    </row>
    <row r="16" spans="1:13" s="513" customFormat="1" ht="11.25" customHeight="1" x14ac:dyDescent="0.35">
      <c r="A16" s="496"/>
      <c r="B16" s="496"/>
      <c r="C16" s="496"/>
      <c r="D16" s="373"/>
      <c r="E16" s="373"/>
      <c r="F16" s="524"/>
      <c r="G16" s="524"/>
      <c r="H16" s="520"/>
      <c r="I16" s="520"/>
      <c r="J16" s="520"/>
      <c r="K16" s="17"/>
    </row>
    <row r="17" spans="1:20" ht="9" customHeight="1" x14ac:dyDescent="0.35">
      <c r="A17" s="505"/>
      <c r="B17" s="505"/>
      <c r="C17" s="505"/>
      <c r="D17" s="505"/>
      <c r="E17" s="506"/>
      <c r="F17" s="507"/>
      <c r="G17" s="507"/>
      <c r="H17" s="507"/>
      <c r="I17" s="505"/>
      <c r="J17" s="505"/>
      <c r="K17" s="508"/>
    </row>
    <row r="18" spans="1:20" ht="26.25" x14ac:dyDescent="0.25">
      <c r="A18" s="557"/>
      <c r="B18" s="557"/>
      <c r="C18" s="557"/>
      <c r="D18" s="601" t="s">
        <v>300</v>
      </c>
      <c r="E18" s="601"/>
      <c r="F18" s="601"/>
      <c r="G18" s="601"/>
      <c r="H18" s="601"/>
      <c r="I18" s="601"/>
      <c r="J18" s="601"/>
      <c r="K18" s="494"/>
    </row>
    <row r="19" spans="1:20" ht="23.25" x14ac:dyDescent="0.35">
      <c r="D19" s="605" t="s">
        <v>301</v>
      </c>
      <c r="E19" s="605"/>
      <c r="F19" s="605"/>
      <c r="G19" s="605"/>
      <c r="H19" s="594" t="s">
        <v>273</v>
      </c>
      <c r="I19" s="595"/>
      <c r="J19" s="596"/>
      <c r="K19" s="468"/>
      <c r="P19" t="s">
        <v>6</v>
      </c>
      <c r="Q19" s="526" t="s">
        <v>294</v>
      </c>
      <c r="R19" t="s">
        <v>17</v>
      </c>
      <c r="S19" t="s">
        <v>248</v>
      </c>
      <c r="T19" t="s">
        <v>252</v>
      </c>
    </row>
    <row r="20" spans="1:20" ht="21.75" customHeight="1" x14ac:dyDescent="0.35">
      <c r="C20" s="509" t="s">
        <v>285</v>
      </c>
      <c r="D20" s="602" t="s">
        <v>36</v>
      </c>
      <c r="E20" s="603"/>
      <c r="F20" s="604" t="s">
        <v>37</v>
      </c>
      <c r="G20" s="604"/>
      <c r="H20" s="296" t="s">
        <v>38</v>
      </c>
      <c r="I20" s="297" t="s">
        <v>27</v>
      </c>
      <c r="J20" s="298" t="s">
        <v>39</v>
      </c>
      <c r="K20" s="468"/>
      <c r="P20" t="s">
        <v>24</v>
      </c>
      <c r="Q20" s="526" t="s">
        <v>295</v>
      </c>
      <c r="R20" t="s">
        <v>8</v>
      </c>
      <c r="S20" t="s">
        <v>249</v>
      </c>
      <c r="T20" t="s">
        <v>246</v>
      </c>
    </row>
    <row r="21" spans="1:20" ht="21.75" customHeight="1" x14ac:dyDescent="0.35">
      <c r="A21" s="585" t="s">
        <v>19</v>
      </c>
      <c r="B21" s="585"/>
      <c r="C21" s="408" t="s">
        <v>292</v>
      </c>
      <c r="D21" s="558">
        <f>'Amadeus France'!C10</f>
        <v>0</v>
      </c>
      <c r="E21" s="559"/>
      <c r="F21" s="561">
        <f>IF(D21=0,0,IF(D12=P20,'Amadeus France'!D10,'Amadeus France'!M10))</f>
        <v>0</v>
      </c>
      <c r="G21" s="562"/>
      <c r="H21" s="502">
        <f>IF(D12=P19,'Amadeus France'!P27,'Amadeus France'!G27)</f>
        <v>0</v>
      </c>
      <c r="I21" s="503">
        <f>IF(D12=P19,'Amadeus France'!Q27,'Amadeus France'!H27)</f>
        <v>0</v>
      </c>
      <c r="J21" s="504">
        <f>H21+I21</f>
        <v>0</v>
      </c>
      <c r="K21" s="498"/>
      <c r="M21" s="283"/>
      <c r="N21" s="283"/>
      <c r="O21" s="283"/>
      <c r="R21" t="s">
        <v>29</v>
      </c>
      <c r="S21" t="s">
        <v>250</v>
      </c>
      <c r="T21" t="s">
        <v>247</v>
      </c>
    </row>
    <row r="22" spans="1:20" ht="21.75" customHeight="1" x14ac:dyDescent="0.35">
      <c r="A22" s="548" t="s">
        <v>286</v>
      </c>
      <c r="B22" s="548"/>
      <c r="C22" s="408">
        <f>IF(D14=R20,'Amadeus sas'!H42,'Amadeus sas'!H41)</f>
        <v>0.02</v>
      </c>
      <c r="D22" s="558">
        <f>'Amadeus France'!C89</f>
        <v>0</v>
      </c>
      <c r="E22" s="559"/>
      <c r="F22" s="560">
        <f>IF(D22=0,0,IF(D12=P20,'Amadeus France'!D89,'Amadeus France'!M89))</f>
        <v>0</v>
      </c>
      <c r="G22" s="560"/>
      <c r="H22" s="502">
        <f>IF(D12=P20,'Amadeus France'!G106,'Amadeus France'!P106)</f>
        <v>0</v>
      </c>
      <c r="I22" s="503">
        <f>IF(D12=P20,'Amadeus France'!H106,'Amadeus France'!Q106)</f>
        <v>0</v>
      </c>
      <c r="J22" s="504">
        <f>I22+H22</f>
        <v>0</v>
      </c>
      <c r="K22" s="510" t="s">
        <v>283</v>
      </c>
      <c r="L22" s="281"/>
      <c r="M22" s="281"/>
      <c r="N22" s="281"/>
    </row>
    <row r="23" spans="1:20" ht="21.75" customHeight="1" x14ac:dyDescent="0.35">
      <c r="A23" s="556" t="s">
        <v>293</v>
      </c>
      <c r="B23" s="556"/>
      <c r="C23" s="408">
        <f>IF(D12=P19,IF(I9=Q19,'Amadeus sas'!L41,'Amadeus sas'!L40),'Amadeus sas'!L42)</f>
        <v>0.02</v>
      </c>
      <c r="D23" s="558">
        <f>'Amadeus sas'!M48</f>
        <v>0</v>
      </c>
      <c r="E23" s="559"/>
      <c r="F23" s="560">
        <f>IF(D21=0,0,'Amadeus sas'!N47)</f>
        <v>0</v>
      </c>
      <c r="G23" s="560"/>
      <c r="H23" s="502">
        <f>'Amadeus sas'!Q64</f>
        <v>0</v>
      </c>
      <c r="I23" s="503">
        <f>'Amadeus sas'!R64</f>
        <v>0</v>
      </c>
      <c r="J23" s="504">
        <f>I23+H23</f>
        <v>0</v>
      </c>
      <c r="K23" s="511" t="s">
        <v>308</v>
      </c>
      <c r="L23" s="281"/>
      <c r="M23" s="281"/>
    </row>
    <row r="24" spans="1:20" ht="21.75" customHeight="1" x14ac:dyDescent="0.35">
      <c r="E24" s="281"/>
      <c r="G24" s="281"/>
      <c r="H24" s="281"/>
      <c r="K24" s="468"/>
      <c r="P24" t="s">
        <v>43</v>
      </c>
    </row>
    <row r="25" spans="1:20" ht="9" customHeight="1" x14ac:dyDescent="0.35">
      <c r="A25" s="490"/>
      <c r="B25" s="490"/>
      <c r="C25" s="490"/>
      <c r="D25" s="490"/>
      <c r="E25" s="491"/>
      <c r="F25" s="492"/>
      <c r="G25" s="492"/>
      <c r="H25" s="492"/>
      <c r="I25" s="490"/>
      <c r="J25" s="490"/>
      <c r="K25" s="493"/>
    </row>
    <row r="26" spans="1:20" ht="26.25" x14ac:dyDescent="0.35">
      <c r="A26" s="586" t="s">
        <v>261</v>
      </c>
      <c r="B26" s="586"/>
      <c r="C26" s="586"/>
      <c r="D26" s="567" t="s">
        <v>310</v>
      </c>
      <c r="E26" s="567"/>
      <c r="F26" s="567"/>
      <c r="G26" s="567"/>
      <c r="H26" s="567"/>
      <c r="I26" s="567"/>
      <c r="J26" s="567"/>
      <c r="K26" s="468"/>
      <c r="P26" t="s">
        <v>291</v>
      </c>
      <c r="Q26" t="s">
        <v>298</v>
      </c>
    </row>
    <row r="27" spans="1:20" ht="21.75" customHeight="1" x14ac:dyDescent="0.35">
      <c r="D27" s="568" t="s">
        <v>36</v>
      </c>
      <c r="E27" s="569"/>
      <c r="F27" s="570" t="s">
        <v>37</v>
      </c>
      <c r="G27" s="570"/>
      <c r="K27" s="468"/>
      <c r="P27" t="s">
        <v>309</v>
      </c>
      <c r="Q27" t="s">
        <v>281</v>
      </c>
      <c r="R27" t="s">
        <v>17</v>
      </c>
      <c r="S27" t="str">
        <f>S19</f>
        <v>Modalité Standard</v>
      </c>
      <c r="T27" t="s">
        <v>258</v>
      </c>
    </row>
    <row r="28" spans="1:20" ht="21.75" customHeight="1" x14ac:dyDescent="0.35">
      <c r="A28" s="578"/>
      <c r="B28" s="578"/>
      <c r="C28" s="578"/>
      <c r="D28" s="571">
        <v>1500</v>
      </c>
      <c r="E28" s="572"/>
      <c r="F28" s="579">
        <f>D28-D28*9.7/100</f>
        <v>1354.5</v>
      </c>
      <c r="G28" s="580"/>
      <c r="H28" s="454"/>
      <c r="K28" s="468"/>
      <c r="P28" t="s">
        <v>307</v>
      </c>
      <c r="Q28" t="s">
        <v>282</v>
      </c>
      <c r="R28" t="s">
        <v>8</v>
      </c>
      <c r="S28" t="str">
        <f>S20</f>
        <v>Réalisation de mission</v>
      </c>
      <c r="T28" t="s">
        <v>253</v>
      </c>
    </row>
    <row r="29" spans="1:20" ht="24" customHeight="1" x14ac:dyDescent="0.35">
      <c r="A29" s="458"/>
      <c r="B29" s="458"/>
      <c r="C29" s="458"/>
      <c r="D29" s="573" t="s">
        <v>272</v>
      </c>
      <c r="E29" s="573"/>
      <c r="F29" s="573"/>
      <c r="G29" s="573"/>
      <c r="H29" s="573"/>
      <c r="I29" s="573"/>
      <c r="J29" s="573"/>
      <c r="K29" s="468"/>
      <c r="R29" t="s">
        <v>29</v>
      </c>
      <c r="S29" t="str">
        <f>S21</f>
        <v>Autonomie complète</v>
      </c>
      <c r="T29" t="s">
        <v>253</v>
      </c>
    </row>
    <row r="30" spans="1:20" ht="10.5" customHeight="1" x14ac:dyDescent="0.35">
      <c r="A30" s="458"/>
      <c r="B30" s="458"/>
      <c r="C30" s="458"/>
      <c r="D30" s="474"/>
      <c r="E30" s="474"/>
      <c r="F30" s="474"/>
      <c r="G30" s="474"/>
      <c r="H30" s="474"/>
      <c r="I30" s="474"/>
      <c r="J30" s="474"/>
      <c r="K30" s="468"/>
    </row>
    <row r="31" spans="1:20" ht="9" customHeight="1" x14ac:dyDescent="0.35">
      <c r="A31" s="528"/>
      <c r="B31" s="528"/>
      <c r="C31" s="528"/>
      <c r="D31" s="528"/>
      <c r="E31" s="529"/>
      <c r="F31" s="530"/>
      <c r="G31" s="530"/>
      <c r="H31" s="530"/>
      <c r="I31" s="528"/>
      <c r="J31" s="528"/>
      <c r="K31" s="531"/>
    </row>
    <row r="32" spans="1:20" ht="28.5" customHeight="1" x14ac:dyDescent="0.25">
      <c r="A32" s="557" t="s">
        <v>302</v>
      </c>
      <c r="B32" s="557"/>
      <c r="C32" s="557"/>
      <c r="D32" s="587" t="s">
        <v>319</v>
      </c>
      <c r="E32" s="588"/>
      <c r="F32" s="588"/>
      <c r="G32" s="588"/>
      <c r="H32" s="527" t="s">
        <v>9</v>
      </c>
      <c r="I32" s="574" t="str">
        <f>I9</f>
        <v>Issy-les Moulineaux</v>
      </c>
      <c r="J32" s="575"/>
      <c r="K32" s="525"/>
    </row>
    <row r="33" spans="1:20" ht="33.950000000000003" hidden="1" customHeight="1" x14ac:dyDescent="0.35">
      <c r="A33" s="554" t="s">
        <v>40</v>
      </c>
      <c r="B33" s="555"/>
      <c r="C33" s="555"/>
      <c r="D33" s="467"/>
      <c r="E33" s="477" t="str">
        <f>D14</f>
        <v>ARTT 1</v>
      </c>
      <c r="F33" s="550" t="str">
        <f>E14</f>
        <v>Modalité Standard</v>
      </c>
      <c r="G33" s="550"/>
      <c r="H33" s="475" t="str">
        <f>G14</f>
        <v>35h / semaine (avec badgeage), 0 RTT</v>
      </c>
      <c r="I33" s="475"/>
      <c r="J33" s="475"/>
      <c r="K33" s="494"/>
      <c r="R33" t="s">
        <v>8</v>
      </c>
      <c r="T33" t="s">
        <v>253</v>
      </c>
    </row>
    <row r="34" spans="1:20" ht="26.25" hidden="1" x14ac:dyDescent="0.35">
      <c r="A34" s="581"/>
      <c r="B34" s="581"/>
      <c r="C34" s="581"/>
      <c r="D34" s="467"/>
      <c r="E34" s="477"/>
      <c r="F34" s="551" t="s">
        <v>254</v>
      </c>
      <c r="G34" s="551"/>
      <c r="H34" s="475" t="s">
        <v>255</v>
      </c>
      <c r="I34" s="475"/>
      <c r="J34" s="475"/>
      <c r="K34" s="494"/>
    </row>
    <row r="35" spans="1:20" ht="26.25" x14ac:dyDescent="0.25">
      <c r="A35" s="557" t="s">
        <v>287</v>
      </c>
      <c r="B35" s="557"/>
      <c r="C35" s="557"/>
      <c r="D35" s="553" t="s">
        <v>251</v>
      </c>
      <c r="E35" s="553"/>
      <c r="F35" s="553"/>
      <c r="G35" s="553"/>
      <c r="H35" s="553"/>
      <c r="I35" s="553"/>
      <c r="J35" s="553"/>
      <c r="K35" s="494"/>
    </row>
    <row r="36" spans="1:20" ht="23.25" x14ac:dyDescent="0.25">
      <c r="D36" s="489" t="str">
        <f>D14</f>
        <v>ARTT 1</v>
      </c>
      <c r="E36" s="550" t="str">
        <f>E14</f>
        <v>Modalité Standard</v>
      </c>
      <c r="F36" s="550"/>
      <c r="G36" s="475" t="str">
        <f>G14</f>
        <v>35h / semaine (avec badgeage), 0 RTT</v>
      </c>
      <c r="I36" s="501"/>
      <c r="K36" s="510" t="s">
        <v>283</v>
      </c>
    </row>
    <row r="37" spans="1:20" ht="23.25" x14ac:dyDescent="0.35">
      <c r="A37" s="457"/>
      <c r="B37" s="457"/>
      <c r="C37" s="457"/>
      <c r="D37" s="467"/>
      <c r="E37" s="475" t="s">
        <v>284</v>
      </c>
      <c r="F37" s="475"/>
      <c r="G37" s="475"/>
      <c r="H37" s="475"/>
      <c r="K37" s="510" t="s">
        <v>283</v>
      </c>
    </row>
    <row r="38" spans="1:20" ht="13.5" customHeight="1" x14ac:dyDescent="0.35">
      <c r="A38" s="456"/>
      <c r="B38" s="456"/>
      <c r="C38" s="455"/>
      <c r="E38" s="281"/>
      <c r="G38" s="281"/>
      <c r="H38" s="281"/>
      <c r="K38" s="468"/>
    </row>
    <row r="39" spans="1:20" ht="9" customHeight="1" x14ac:dyDescent="0.35">
      <c r="A39" s="470"/>
      <c r="B39" s="470"/>
      <c r="C39" s="470"/>
      <c r="D39" s="470"/>
      <c r="E39" s="471"/>
      <c r="F39" s="472"/>
      <c r="G39" s="472"/>
      <c r="H39" s="472"/>
      <c r="I39" s="470"/>
      <c r="J39" s="470"/>
      <c r="K39" s="473"/>
    </row>
    <row r="40" spans="1:20" s="469" customFormat="1" ht="33.950000000000003" hidden="1" customHeight="1" x14ac:dyDescent="0.35">
      <c r="A40" s="478"/>
      <c r="B40" s="478"/>
      <c r="C40" s="478"/>
      <c r="D40" s="467"/>
      <c r="E40" s="477" t="str">
        <f>E33</f>
        <v>ARTT 1</v>
      </c>
      <c r="F40" s="550" t="str">
        <f>F33</f>
        <v>Modalité Standard</v>
      </c>
      <c r="G40" s="550"/>
      <c r="H40" s="475" t="str">
        <f>H33</f>
        <v>35h / semaine (avec badgeage), 0 RTT</v>
      </c>
      <c r="I40" s="475"/>
      <c r="J40" s="475"/>
      <c r="K40" s="495"/>
    </row>
    <row r="41" spans="1:20" s="469" customFormat="1" ht="26.25" hidden="1" x14ac:dyDescent="0.35">
      <c r="A41" s="478"/>
      <c r="B41" s="478"/>
      <c r="C41" s="478"/>
      <c r="D41" s="467"/>
      <c r="E41" s="477"/>
      <c r="F41" s="551" t="s">
        <v>254</v>
      </c>
      <c r="G41" s="551"/>
      <c r="H41" s="475" t="s">
        <v>255</v>
      </c>
      <c r="I41" s="475"/>
      <c r="J41" s="475"/>
      <c r="K41" s="495"/>
    </row>
    <row r="42" spans="1:20" s="469" customFormat="1" ht="26.25" x14ac:dyDescent="0.25">
      <c r="A42" s="552" t="s">
        <v>288</v>
      </c>
      <c r="B42" s="552"/>
      <c r="C42" s="552"/>
      <c r="D42" s="564" t="s">
        <v>245</v>
      </c>
      <c r="E42" s="564"/>
      <c r="F42" s="564"/>
      <c r="G42" s="564"/>
      <c r="H42" s="564"/>
      <c r="I42" s="564"/>
      <c r="J42" s="564"/>
      <c r="K42" s="495"/>
    </row>
    <row r="43" spans="1:20" s="469" customFormat="1" ht="26.25" x14ac:dyDescent="0.25">
      <c r="A43" s="478"/>
      <c r="B43" s="478"/>
      <c r="C43" s="478"/>
      <c r="D43" s="489" t="str">
        <f>D36</f>
        <v>ARTT 1</v>
      </c>
      <c r="E43" s="550" t="str">
        <f>E36</f>
        <v>Modalité Standard</v>
      </c>
      <c r="F43" s="550"/>
      <c r="G43" s="475" t="str">
        <f>G36</f>
        <v>35h / semaine (avec badgeage), 0 RTT</v>
      </c>
      <c r="I43" s="501"/>
      <c r="K43" s="510" t="s">
        <v>283</v>
      </c>
    </row>
    <row r="44" spans="1:20" s="469" customFormat="1" ht="26.25" x14ac:dyDescent="0.35">
      <c r="A44" s="478"/>
      <c r="B44" s="478"/>
      <c r="C44" s="478"/>
      <c r="D44" s="467"/>
      <c r="E44" s="475" t="s">
        <v>284</v>
      </c>
      <c r="F44" s="475"/>
      <c r="G44" s="475"/>
      <c r="H44" s="475"/>
      <c r="K44" s="511" t="s">
        <v>308</v>
      </c>
    </row>
    <row r="45" spans="1:20" s="469" customFormat="1" ht="12" customHeight="1" x14ac:dyDescent="0.35">
      <c r="A45" s="478"/>
      <c r="B45" s="478"/>
      <c r="C45" s="478"/>
      <c r="D45" s="467"/>
      <c r="E45" s="477"/>
      <c r="F45" s="483"/>
      <c r="G45" s="483"/>
      <c r="H45" s="475"/>
      <c r="I45" s="475"/>
      <c r="J45" s="475"/>
      <c r="K45" s="495"/>
    </row>
    <row r="46" spans="1:20" ht="9" customHeight="1" x14ac:dyDescent="0.35">
      <c r="A46" s="479"/>
      <c r="B46" s="479"/>
      <c r="C46" s="479"/>
      <c r="D46" s="479"/>
      <c r="E46" s="480"/>
      <c r="F46" s="481"/>
      <c r="G46" s="481"/>
      <c r="H46" s="481"/>
      <c r="I46" s="479"/>
      <c r="J46" s="479"/>
      <c r="K46" s="482"/>
    </row>
    <row r="47" spans="1:20" ht="26.25" x14ac:dyDescent="0.25">
      <c r="A47" s="547" t="s">
        <v>257</v>
      </c>
      <c r="B47" s="547"/>
      <c r="C47" s="547"/>
      <c r="D47" s="563" t="s">
        <v>289</v>
      </c>
      <c r="E47" s="563"/>
      <c r="F47" s="563"/>
      <c r="G47" s="563"/>
      <c r="H47" s="563"/>
      <c r="I47" s="563"/>
      <c r="J47" s="563"/>
      <c r="K47" s="488"/>
    </row>
    <row r="48" spans="1:20" ht="26.25" x14ac:dyDescent="0.35">
      <c r="A48" s="485"/>
      <c r="B48" s="485"/>
      <c r="C48" s="485"/>
      <c r="D48" s="549" t="s">
        <v>290</v>
      </c>
      <c r="E48" s="549"/>
      <c r="F48" s="549"/>
      <c r="G48" s="549"/>
      <c r="H48" s="549"/>
      <c r="I48" s="549"/>
      <c r="J48" s="549"/>
      <c r="K48" s="499"/>
    </row>
    <row r="49" spans="1:12" ht="12.75" customHeight="1" x14ac:dyDescent="0.35">
      <c r="A49" s="485"/>
      <c r="B49" s="485"/>
      <c r="C49" s="485"/>
      <c r="D49" s="486"/>
      <c r="E49" s="477"/>
      <c r="F49" s="477"/>
      <c r="G49" s="477"/>
      <c r="H49" s="477"/>
      <c r="I49" s="477"/>
      <c r="J49" s="486"/>
      <c r="K49" s="499"/>
    </row>
    <row r="50" spans="1:12" ht="23.25" x14ac:dyDescent="0.25">
      <c r="D50" s="477" t="str">
        <f>E40</f>
        <v>ARTT 1</v>
      </c>
      <c r="E50" s="550" t="str">
        <f>IF(D14=R19,S27,S28)</f>
        <v>Modalité Standard</v>
      </c>
      <c r="F50" s="550"/>
      <c r="G50" s="475" t="str">
        <f>IF(D14=R19,T27,T28)</f>
        <v>37h / semaine, 1598h / an, fin du badgage</v>
      </c>
      <c r="I50" s="475"/>
      <c r="J50" s="489"/>
      <c r="K50" s="511" t="s">
        <v>308</v>
      </c>
    </row>
    <row r="51" spans="1:12" ht="18.75" hidden="1" customHeight="1" x14ac:dyDescent="0.25">
      <c r="D51" s="564" t="s">
        <v>245</v>
      </c>
      <c r="E51" s="564"/>
      <c r="F51" s="564"/>
      <c r="G51" s="564"/>
      <c r="H51" s="564"/>
      <c r="I51" s="564"/>
      <c r="J51" s="564"/>
      <c r="K51" s="511" t="s">
        <v>308</v>
      </c>
    </row>
    <row r="52" spans="1:12" ht="23.25" x14ac:dyDescent="0.25">
      <c r="E52" s="551" t="s">
        <v>254</v>
      </c>
      <c r="F52" s="551"/>
      <c r="G52" s="475" t="s">
        <v>256</v>
      </c>
      <c r="J52" s="489"/>
      <c r="K52" s="511" t="s">
        <v>308</v>
      </c>
    </row>
    <row r="53" spans="1:12" ht="12.75" customHeight="1" x14ac:dyDescent="0.35">
      <c r="F53" s="476"/>
      <c r="G53" s="476"/>
      <c r="H53" s="475"/>
      <c r="K53" s="468"/>
      <c r="L53" s="484"/>
    </row>
    <row r="54" spans="1:12" ht="26.25" x14ac:dyDescent="0.25">
      <c r="A54" s="547" t="s">
        <v>296</v>
      </c>
      <c r="B54" s="547"/>
      <c r="C54" s="547"/>
      <c r="D54" s="563" t="s">
        <v>297</v>
      </c>
      <c r="E54" s="563"/>
      <c r="F54" s="563"/>
      <c r="G54" s="563"/>
      <c r="H54" s="563"/>
      <c r="I54" s="563"/>
      <c r="J54" s="563"/>
      <c r="K54" s="511" t="s">
        <v>308</v>
      </c>
    </row>
    <row r="55" spans="1:12" ht="26.25" x14ac:dyDescent="0.25">
      <c r="A55" s="547"/>
      <c r="B55" s="547"/>
      <c r="C55" s="547"/>
      <c r="D55" s="476"/>
      <c r="E55" s="475" t="s">
        <v>322</v>
      </c>
      <c r="F55" s="476"/>
      <c r="K55" s="511"/>
    </row>
    <row r="56" spans="1:12" ht="26.25" x14ac:dyDescent="0.3">
      <c r="A56" s="547"/>
      <c r="B56" s="547"/>
      <c r="C56" s="547"/>
      <c r="E56" s="475" t="s">
        <v>323</v>
      </c>
      <c r="F56" s="484"/>
      <c r="K56" s="511"/>
      <c r="L56" s="484"/>
    </row>
    <row r="57" spans="1:12" ht="12" customHeight="1" x14ac:dyDescent="0.35">
      <c r="A57" s="547"/>
      <c r="B57" s="547"/>
      <c r="C57" s="547"/>
      <c r="F57" s="484"/>
      <c r="G57" s="475"/>
      <c r="K57" s="468"/>
      <c r="L57" s="484"/>
    </row>
    <row r="58" spans="1:12" ht="26.25" x14ac:dyDescent="0.3">
      <c r="A58" s="547" t="s">
        <v>259</v>
      </c>
      <c r="B58" s="547"/>
      <c r="C58" s="547"/>
      <c r="D58" s="563" t="s">
        <v>260</v>
      </c>
      <c r="E58" s="563"/>
      <c r="F58" s="563"/>
      <c r="G58" s="563"/>
      <c r="H58" s="563"/>
      <c r="I58" s="563"/>
      <c r="J58" s="563"/>
      <c r="K58" s="511" t="s">
        <v>308</v>
      </c>
      <c r="L58" s="484"/>
    </row>
    <row r="59" spans="1:12" ht="26.25" x14ac:dyDescent="0.3">
      <c r="A59" s="547"/>
      <c r="B59" s="547"/>
      <c r="C59" s="547"/>
      <c r="D59" s="487"/>
      <c r="E59" s="489">
        <v>2023</v>
      </c>
      <c r="F59" s="475" t="s">
        <v>262</v>
      </c>
      <c r="K59" s="511"/>
      <c r="L59" s="484"/>
    </row>
    <row r="60" spans="1:12" ht="23.25" x14ac:dyDescent="0.3">
      <c r="E60" s="489">
        <v>2024</v>
      </c>
      <c r="F60" s="475" t="s">
        <v>263</v>
      </c>
      <c r="K60" s="511"/>
      <c r="L60" s="484"/>
    </row>
    <row r="61" spans="1:12" ht="23.25" x14ac:dyDescent="0.3">
      <c r="E61" s="489">
        <v>2025</v>
      </c>
      <c r="F61" s="475" t="s">
        <v>264</v>
      </c>
      <c r="K61" s="511"/>
      <c r="L61" s="484"/>
    </row>
    <row r="62" spans="1:12" ht="12" customHeight="1" x14ac:dyDescent="0.35">
      <c r="F62" s="484"/>
      <c r="H62" s="475"/>
      <c r="K62" s="468"/>
    </row>
    <row r="63" spans="1:12" ht="9" customHeight="1" x14ac:dyDescent="0.35">
      <c r="A63" s="514"/>
      <c r="B63" s="514"/>
      <c r="C63" s="514"/>
      <c r="D63" s="514"/>
      <c r="E63" s="515"/>
      <c r="F63" s="516"/>
      <c r="G63" s="516"/>
      <c r="H63" s="516"/>
      <c r="I63" s="514"/>
      <c r="J63" s="514"/>
      <c r="K63" s="517"/>
    </row>
  </sheetData>
  <sheetProtection algorithmName="SHA-512" hashValue="Ay2/7ecL3Uau+8UUMrGG1lcuLcxLhlEMBDd2lTsnF8rHFKfS0JH5HU1XlU7sJ5kAhUMFrQuEs9FmJsHeOfWGxA==" saltValue="3J6WDz++lgqLM32Wwu4uYA==" spinCount="100000" sheet="1" objects="1" scenarios="1"/>
  <mergeCells count="67">
    <mergeCell ref="A59:C59"/>
    <mergeCell ref="D12:E12"/>
    <mergeCell ref="D13:E13"/>
    <mergeCell ref="E14:F14"/>
    <mergeCell ref="D18:J18"/>
    <mergeCell ref="A18:C18"/>
    <mergeCell ref="A54:C54"/>
    <mergeCell ref="A55:C55"/>
    <mergeCell ref="A56:C56"/>
    <mergeCell ref="A57:C57"/>
    <mergeCell ref="A58:C58"/>
    <mergeCell ref="A35:C35"/>
    <mergeCell ref="G12:H12"/>
    <mergeCell ref="D20:E20"/>
    <mergeCell ref="F20:G20"/>
    <mergeCell ref="D19:G19"/>
    <mergeCell ref="D2:J4"/>
    <mergeCell ref="D1:J1"/>
    <mergeCell ref="A28:C28"/>
    <mergeCell ref="F28:G28"/>
    <mergeCell ref="A34:C34"/>
    <mergeCell ref="D9:G9"/>
    <mergeCell ref="A9:C9"/>
    <mergeCell ref="D21:E21"/>
    <mergeCell ref="A21:B21"/>
    <mergeCell ref="A26:C26"/>
    <mergeCell ref="D32:G32"/>
    <mergeCell ref="H6:I6"/>
    <mergeCell ref="A5:C5"/>
    <mergeCell ref="I9:J9"/>
    <mergeCell ref="E15:F15"/>
    <mergeCell ref="H19:J19"/>
    <mergeCell ref="F34:G34"/>
    <mergeCell ref="G13:H13"/>
    <mergeCell ref="D23:E23"/>
    <mergeCell ref="F23:G23"/>
    <mergeCell ref="D26:J26"/>
    <mergeCell ref="D27:E27"/>
    <mergeCell ref="F27:G27"/>
    <mergeCell ref="D28:E28"/>
    <mergeCell ref="D29:J29"/>
    <mergeCell ref="F33:G33"/>
    <mergeCell ref="I32:J32"/>
    <mergeCell ref="D58:J58"/>
    <mergeCell ref="D51:J51"/>
    <mergeCell ref="D42:J42"/>
    <mergeCell ref="D47:J47"/>
    <mergeCell ref="E43:F43"/>
    <mergeCell ref="E52:F52"/>
    <mergeCell ref="E50:F50"/>
    <mergeCell ref="D54:J54"/>
    <mergeCell ref="A6:C6"/>
    <mergeCell ref="D5:J5"/>
    <mergeCell ref="A47:C47"/>
    <mergeCell ref="A22:B22"/>
    <mergeCell ref="D48:J48"/>
    <mergeCell ref="F40:G40"/>
    <mergeCell ref="F41:G41"/>
    <mergeCell ref="A42:C42"/>
    <mergeCell ref="D35:J35"/>
    <mergeCell ref="A33:C33"/>
    <mergeCell ref="A23:B23"/>
    <mergeCell ref="A32:C32"/>
    <mergeCell ref="E36:F36"/>
    <mergeCell ref="D22:E22"/>
    <mergeCell ref="F22:G22"/>
    <mergeCell ref="F21:G21"/>
  </mergeCells>
  <dataValidations count="4">
    <dataValidation type="list" allowBlank="1" showInputMessage="1" showErrorMessage="1" sqref="D14" xr:uid="{9DEA4337-2E70-4FDF-AD1D-B81ADDD0BB24}">
      <formula1>$R$19:$R$21</formula1>
    </dataValidation>
    <dataValidation type="list" allowBlank="1" showInputMessage="1" showErrorMessage="1" sqref="I9" xr:uid="{38BBE7F2-9368-423C-8CE1-432EE8E07E90}">
      <formula1>$Q$19:$Q$20</formula1>
    </dataValidation>
    <dataValidation type="list" allowBlank="1" showInputMessage="1" showErrorMessage="1" sqref="D12" xr:uid="{9E645BFE-C8D8-4753-A38F-159709AE82F4}">
      <formula1>$P$19:$P$20</formula1>
    </dataValidation>
    <dataValidation type="list" allowBlank="1" showInputMessage="1" showErrorMessage="1" sqref="D13:E13" xr:uid="{0C286846-072A-47DF-BD6A-577818A623B8}">
      <formula1>$P$26:$P$28</formula1>
    </dataValidation>
  </dataValidations>
  <hyperlinks>
    <hyperlink ref="K1" location="Aide!A1" display="AIDE FR" xr:uid="{7B6A2B8F-4890-4968-B97F-753776E3AF26}"/>
  </hyperlinks>
  <pageMargins left="0.7" right="0.7" top="0.75" bottom="0.75" header="0.3" footer="0.3"/>
  <pageSetup orientation="portrait" r:id="rId1"/>
  <headerFooter>
    <oddHeader>&amp;R&amp;"Calibri"&amp;12&amp;KFF8C00CONFIDENTIAL &amp; RESTRICTED&amp;1#</oddHead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6FD3-6A1A-453F-B663-3D51F696C4BF}">
  <dimension ref="A1:V60"/>
  <sheetViews>
    <sheetView topLeftCell="A38" zoomScaleNormal="100" workbookViewId="0">
      <selection activeCell="C41" sqref="A41:N69"/>
    </sheetView>
  </sheetViews>
  <sheetFormatPr defaultColWidth="9.140625" defaultRowHeight="15" x14ac:dyDescent="0.25"/>
  <cols>
    <col min="1" max="3" width="13.7109375" style="17" customWidth="1"/>
    <col min="4" max="4" width="15.140625" customWidth="1"/>
    <col min="5" max="5" width="20.5703125" customWidth="1"/>
    <col min="6" max="6" width="19.7109375" customWidth="1"/>
    <col min="7" max="7" width="8.28515625" customWidth="1"/>
    <col min="8" max="8" width="9" customWidth="1"/>
    <col min="9" max="9" width="14.5703125" customWidth="1"/>
    <col min="10" max="10" width="9.28515625" bestFit="1" customWidth="1"/>
    <col min="12" max="12" width="31.140625" hidden="1" customWidth="1"/>
    <col min="13" max="13" width="18.42578125" hidden="1" customWidth="1"/>
    <col min="14" max="14" width="14.140625" hidden="1" customWidth="1"/>
    <col min="15" max="15" width="0" hidden="1" customWidth="1"/>
  </cols>
  <sheetData>
    <row r="1" spans="1:20" s="17" customFormat="1" ht="18.600000000000001" customHeight="1" x14ac:dyDescent="0.25">
      <c r="D1" s="610" t="s">
        <v>189</v>
      </c>
      <c r="E1" s="610"/>
      <c r="F1" s="610"/>
      <c r="G1" s="610"/>
      <c r="H1" s="610"/>
      <c r="I1" s="610"/>
      <c r="J1" s="32"/>
      <c r="K1" s="32"/>
    </row>
    <row r="2" spans="1:20" s="17" customFormat="1" ht="39.6" customHeight="1" x14ac:dyDescent="0.25">
      <c r="D2" s="610"/>
      <c r="E2" s="610"/>
      <c r="F2" s="610"/>
      <c r="G2" s="610"/>
      <c r="H2" s="610"/>
      <c r="I2" s="610"/>
      <c r="J2" s="32"/>
      <c r="K2" s="32"/>
    </row>
    <row r="3" spans="1:20" s="17" customFormat="1" ht="18.600000000000001" customHeight="1" x14ac:dyDescent="0.25">
      <c r="D3" s="610"/>
      <c r="E3" s="610"/>
      <c r="F3" s="610"/>
      <c r="G3" s="610"/>
      <c r="H3" s="610"/>
      <c r="I3" s="610"/>
      <c r="J3" s="32"/>
      <c r="K3" s="32"/>
    </row>
    <row r="4" spans="1:20" s="17" customFormat="1" ht="32.1" customHeight="1" x14ac:dyDescent="0.25">
      <c r="D4" s="610"/>
      <c r="E4" s="610"/>
      <c r="F4" s="610"/>
      <c r="G4" s="610"/>
      <c r="H4" s="610"/>
      <c r="I4" s="610"/>
      <c r="J4" s="32"/>
      <c r="K4" s="32"/>
    </row>
    <row r="5" spans="1:20" s="17" customFormat="1" ht="26.25" customHeight="1" x14ac:dyDescent="0.4">
      <c r="A5" s="545" t="s">
        <v>4</v>
      </c>
      <c r="B5" s="545"/>
      <c r="C5" s="545"/>
      <c r="D5" s="32"/>
      <c r="E5" s="32"/>
      <c r="F5" s="32"/>
      <c r="G5" s="32"/>
      <c r="I5" s="36" t="s">
        <v>190</v>
      </c>
      <c r="J5" s="32"/>
      <c r="K5" s="32"/>
    </row>
    <row r="6" spans="1:20" ht="15.75" x14ac:dyDescent="0.25">
      <c r="A6" s="747"/>
      <c r="B6" s="747"/>
      <c r="C6" s="747"/>
      <c r="D6" s="28"/>
      <c r="E6" s="28"/>
      <c r="G6" s="28"/>
      <c r="H6" s="28"/>
      <c r="I6" s="28"/>
      <c r="J6" s="28"/>
      <c r="K6" s="28"/>
      <c r="L6" s="28"/>
      <c r="M6" s="28"/>
      <c r="N6" s="28"/>
      <c r="O6" s="28"/>
      <c r="P6" s="28"/>
      <c r="Q6" s="28"/>
      <c r="R6" s="28"/>
      <c r="S6" s="28"/>
      <c r="T6" s="28"/>
    </row>
    <row r="7" spans="1:20" ht="18.75" x14ac:dyDescent="0.3">
      <c r="A7" s="606" t="str">
        <f>'Simulateur Fusion CFDT'!A6:C6</f>
        <v>Salaire mensuel de base (Brut)</v>
      </c>
      <c r="B7" s="606"/>
      <c r="C7" s="606"/>
      <c r="D7" s="27" t="s">
        <v>191</v>
      </c>
      <c r="E7" s="28"/>
      <c r="F7" s="28"/>
      <c r="G7" s="28"/>
      <c r="H7" s="28"/>
      <c r="I7" s="28"/>
      <c r="J7" s="28"/>
      <c r="K7" s="28"/>
      <c r="L7" s="28"/>
      <c r="M7" s="28"/>
      <c r="N7" s="28"/>
      <c r="O7" s="28"/>
      <c r="P7" s="28"/>
      <c r="Q7" s="28"/>
      <c r="R7" s="28"/>
      <c r="S7" s="28"/>
      <c r="T7" s="28"/>
    </row>
    <row r="8" spans="1:20" ht="15.75" x14ac:dyDescent="0.25">
      <c r="A8" s="609" t="s">
        <v>161</v>
      </c>
      <c r="B8" s="609"/>
      <c r="C8" s="609"/>
      <c r="D8" s="28" t="s">
        <v>192</v>
      </c>
      <c r="E8" s="28"/>
      <c r="F8" s="28"/>
      <c r="G8" s="28"/>
      <c r="H8" s="28"/>
      <c r="I8" s="28"/>
      <c r="J8" s="28"/>
      <c r="K8" s="28"/>
      <c r="L8" s="28"/>
      <c r="M8" s="28"/>
      <c r="N8" s="28"/>
      <c r="O8" s="28"/>
      <c r="P8" s="28"/>
      <c r="Q8" s="28"/>
      <c r="R8" s="28"/>
      <c r="S8" s="28"/>
      <c r="T8" s="28"/>
    </row>
    <row r="9" spans="1:20" ht="15.75" x14ac:dyDescent="0.25">
      <c r="A9" s="747"/>
      <c r="B9" s="747"/>
      <c r="C9" s="747"/>
      <c r="D9" s="33" t="s">
        <v>193</v>
      </c>
      <c r="E9" s="28"/>
      <c r="F9" s="28" t="s">
        <v>194</v>
      </c>
      <c r="G9" s="28"/>
      <c r="H9" s="28"/>
      <c r="I9" s="28"/>
      <c r="J9" s="28"/>
      <c r="K9" s="28"/>
      <c r="L9" s="28"/>
      <c r="M9" s="28"/>
      <c r="N9" s="28"/>
      <c r="O9" s="28"/>
      <c r="P9" s="28"/>
      <c r="Q9" s="28"/>
      <c r="R9" s="28"/>
      <c r="S9" s="28"/>
      <c r="T9" s="28"/>
    </row>
    <row r="10" spans="1:20" ht="15.75" x14ac:dyDescent="0.25">
      <c r="A10" s="747"/>
      <c r="B10" s="747"/>
      <c r="C10" s="747"/>
      <c r="E10" s="28"/>
      <c r="F10" t="s">
        <v>195</v>
      </c>
      <c r="G10" s="28"/>
      <c r="H10" s="28"/>
      <c r="I10" s="28"/>
      <c r="J10" s="28"/>
      <c r="K10" s="28"/>
      <c r="L10" s="28"/>
      <c r="M10" s="28"/>
      <c r="N10" s="28"/>
      <c r="O10" s="28"/>
      <c r="P10" s="28"/>
      <c r="Q10" s="28"/>
      <c r="R10" s="28"/>
      <c r="S10" s="28"/>
      <c r="T10" s="28"/>
    </row>
    <row r="11" spans="1:20" ht="15.75" x14ac:dyDescent="0.25">
      <c r="A11" s="747"/>
      <c r="B11" s="747"/>
      <c r="C11" s="747"/>
      <c r="D11" s="28"/>
      <c r="E11" s="28"/>
      <c r="G11" s="28"/>
      <c r="H11" s="28"/>
      <c r="I11" s="28"/>
      <c r="J11" s="28"/>
      <c r="K11" s="28"/>
      <c r="L11" s="28"/>
      <c r="M11" s="28"/>
      <c r="N11" s="28"/>
      <c r="O11" s="28"/>
      <c r="P11" s="28"/>
      <c r="Q11" s="28"/>
      <c r="R11" s="28"/>
      <c r="S11" s="28"/>
      <c r="T11" s="28"/>
    </row>
    <row r="12" spans="1:20" ht="15.75" x14ac:dyDescent="0.25">
      <c r="A12" s="747"/>
      <c r="B12" s="747"/>
      <c r="C12" s="747"/>
      <c r="D12" s="28"/>
      <c r="E12" s="28"/>
      <c r="G12" s="28"/>
      <c r="H12" s="28"/>
      <c r="I12" s="28"/>
      <c r="J12" s="28"/>
      <c r="K12" s="28"/>
      <c r="L12" s="28"/>
      <c r="M12" s="28"/>
      <c r="N12" s="28"/>
      <c r="O12" s="28"/>
      <c r="P12" s="28"/>
      <c r="Q12" s="28"/>
      <c r="R12" s="28"/>
      <c r="S12" s="28"/>
      <c r="T12" s="28"/>
    </row>
    <row r="13" spans="1:20" ht="15.75" x14ac:dyDescent="0.25">
      <c r="A13" s="747"/>
      <c r="B13" s="747"/>
      <c r="C13" s="747"/>
      <c r="D13" s="28"/>
      <c r="E13" s="28"/>
      <c r="G13" s="28"/>
      <c r="H13" s="28"/>
      <c r="I13" s="28"/>
      <c r="J13" s="28"/>
      <c r="K13" s="28"/>
      <c r="L13" s="28"/>
      <c r="M13" s="28"/>
      <c r="N13" s="28"/>
      <c r="O13" s="28"/>
      <c r="P13" s="28"/>
      <c r="Q13" s="28"/>
      <c r="R13" s="28"/>
      <c r="S13" s="28"/>
      <c r="T13" s="28"/>
    </row>
    <row r="14" spans="1:20" ht="15.75" x14ac:dyDescent="0.25">
      <c r="A14" s="747"/>
      <c r="B14" s="747"/>
      <c r="C14" s="747"/>
      <c r="D14" s="28"/>
      <c r="E14" s="28"/>
      <c r="G14" s="28"/>
      <c r="H14" s="28"/>
      <c r="I14" s="28"/>
      <c r="J14" s="28"/>
      <c r="K14" s="28"/>
      <c r="L14" s="28"/>
      <c r="M14" s="28"/>
      <c r="N14" s="28"/>
      <c r="O14" s="28"/>
      <c r="P14" s="28"/>
      <c r="Q14" s="28"/>
      <c r="R14" s="28"/>
      <c r="S14" s="28"/>
      <c r="T14" s="28"/>
    </row>
    <row r="15" spans="1:20" ht="26.25" customHeight="1" x14ac:dyDescent="0.25">
      <c r="A15" s="747"/>
      <c r="B15" s="747"/>
      <c r="C15" s="747"/>
      <c r="D15" s="28"/>
      <c r="E15" s="28"/>
      <c r="F15" s="28"/>
      <c r="G15" s="28"/>
      <c r="H15" s="28"/>
      <c r="I15" s="28"/>
      <c r="J15" s="28"/>
      <c r="K15" s="28"/>
      <c r="L15" s="28"/>
      <c r="M15" s="28"/>
      <c r="N15" s="28"/>
      <c r="O15" s="28"/>
      <c r="P15" s="28"/>
      <c r="Q15" s="28"/>
      <c r="R15" s="28"/>
      <c r="S15" s="28"/>
      <c r="T15" s="28"/>
    </row>
    <row r="16" spans="1:20" ht="15.75" x14ac:dyDescent="0.25">
      <c r="A16" s="608"/>
      <c r="B16" s="608"/>
      <c r="C16" s="608"/>
      <c r="D16" s="28"/>
      <c r="E16" s="28"/>
      <c r="F16" s="28"/>
      <c r="G16" s="28"/>
      <c r="H16" s="28"/>
      <c r="I16" s="28"/>
      <c r="J16" s="28"/>
      <c r="K16" s="28"/>
      <c r="L16" s="28"/>
      <c r="M16" s="28"/>
      <c r="N16" s="28"/>
      <c r="O16" s="28"/>
      <c r="P16" s="28"/>
      <c r="Q16" s="28"/>
      <c r="R16" s="28"/>
      <c r="S16" s="28"/>
      <c r="T16" s="28"/>
    </row>
    <row r="17" spans="1:22" ht="15.75" x14ac:dyDescent="0.25">
      <c r="A17" s="608"/>
      <c r="B17" s="608"/>
      <c r="C17" s="608"/>
      <c r="D17" s="28"/>
      <c r="E17" s="28"/>
      <c r="F17" s="28"/>
      <c r="G17" s="28"/>
      <c r="H17" s="28"/>
      <c r="I17" s="28"/>
      <c r="J17" s="28"/>
      <c r="K17" s="28"/>
      <c r="L17" s="28"/>
      <c r="M17" s="28"/>
      <c r="N17" s="28"/>
      <c r="O17" s="28"/>
      <c r="P17" s="28"/>
      <c r="Q17" s="28"/>
      <c r="R17" s="28"/>
      <c r="S17" s="28"/>
      <c r="T17" s="28"/>
    </row>
    <row r="18" spans="1:22" ht="15.75" x14ac:dyDescent="0.25">
      <c r="A18" s="609" t="s">
        <v>166</v>
      </c>
      <c r="B18" s="609"/>
      <c r="C18" s="609"/>
      <c r="D18" s="28" t="s">
        <v>196</v>
      </c>
      <c r="E18" s="28"/>
      <c r="F18" s="28"/>
      <c r="G18" s="28"/>
      <c r="H18" s="28"/>
      <c r="I18" s="28"/>
      <c r="J18" s="28"/>
      <c r="K18" s="28"/>
      <c r="L18" s="28"/>
      <c r="M18" s="28"/>
      <c r="N18" s="28"/>
      <c r="O18" s="28"/>
      <c r="Q18" s="28"/>
      <c r="R18" s="28"/>
      <c r="S18" s="28"/>
      <c r="T18" s="28"/>
    </row>
    <row r="19" spans="1:22" ht="15.75" x14ac:dyDescent="0.25">
      <c r="A19" s="608"/>
      <c r="B19" s="608"/>
      <c r="C19" s="608"/>
      <c r="D19" s="33" t="s">
        <v>197</v>
      </c>
      <c r="E19" s="28"/>
      <c r="F19" s="28" t="s">
        <v>198</v>
      </c>
      <c r="G19" s="28"/>
      <c r="H19" s="28"/>
      <c r="I19" s="28"/>
      <c r="J19" s="28"/>
      <c r="K19" s="28"/>
      <c r="L19" s="28"/>
      <c r="M19" s="28"/>
      <c r="N19" s="28"/>
      <c r="O19" s="28"/>
      <c r="P19" s="28"/>
      <c r="R19" s="28"/>
      <c r="S19" s="28"/>
      <c r="T19" s="28"/>
    </row>
    <row r="20" spans="1:22" ht="15.75" x14ac:dyDescent="0.25">
      <c r="A20" s="608"/>
      <c r="B20" s="608"/>
      <c r="C20" s="608"/>
      <c r="D20" s="28" t="s">
        <v>199</v>
      </c>
      <c r="E20" s="28"/>
      <c r="F20" s="28" t="s">
        <v>200</v>
      </c>
      <c r="G20" s="28"/>
      <c r="H20" s="28"/>
      <c r="I20" s="28"/>
      <c r="J20" s="28"/>
      <c r="K20" s="28"/>
      <c r="L20" s="28"/>
      <c r="M20" s="28"/>
      <c r="N20" s="28"/>
      <c r="O20" s="28"/>
      <c r="P20" s="28"/>
      <c r="R20" s="28"/>
      <c r="S20" s="28"/>
      <c r="T20" s="28"/>
    </row>
    <row r="21" spans="1:22" ht="15.75" x14ac:dyDescent="0.25">
      <c r="A21" s="40"/>
      <c r="B21" s="40"/>
      <c r="C21" s="40"/>
      <c r="D21" s="28"/>
      <c r="E21" s="28"/>
      <c r="F21" s="28" t="s">
        <v>201</v>
      </c>
      <c r="G21" s="28"/>
      <c r="H21" s="28"/>
      <c r="I21" s="28"/>
      <c r="J21" s="28"/>
      <c r="K21" s="28"/>
      <c r="L21" s="28"/>
      <c r="M21" s="28"/>
      <c r="N21" s="28"/>
      <c r="O21" s="28"/>
      <c r="P21" s="28"/>
      <c r="Q21" s="28"/>
      <c r="R21" s="28"/>
      <c r="S21" s="28"/>
      <c r="T21" s="28"/>
    </row>
    <row r="22" spans="1:22" ht="15.75" x14ac:dyDescent="0.25">
      <c r="A22" s="40"/>
      <c r="B22" s="40"/>
      <c r="C22" s="40"/>
      <c r="D22" s="28"/>
      <c r="E22" s="28"/>
      <c r="F22" s="28"/>
      <c r="G22" s="28"/>
      <c r="H22" s="28"/>
      <c r="I22" s="28"/>
      <c r="J22" s="28"/>
      <c r="K22" s="28"/>
      <c r="L22" s="28"/>
      <c r="M22" s="28"/>
      <c r="N22" s="28"/>
      <c r="O22" s="28"/>
      <c r="P22" s="28"/>
      <c r="R22" s="28"/>
      <c r="S22" s="28"/>
      <c r="T22" s="28"/>
    </row>
    <row r="23" spans="1:22" ht="15.75" x14ac:dyDescent="0.25">
      <c r="A23" s="40"/>
      <c r="B23" s="40"/>
      <c r="C23" s="40"/>
      <c r="D23" s="28"/>
      <c r="E23" s="28"/>
      <c r="F23" s="28"/>
      <c r="G23" s="28"/>
      <c r="H23" s="28"/>
      <c r="I23" s="28"/>
      <c r="J23" s="28"/>
      <c r="K23" s="28"/>
      <c r="L23" s="28"/>
      <c r="M23" s="28"/>
      <c r="N23" s="28"/>
      <c r="O23" s="28"/>
      <c r="P23" s="28"/>
      <c r="Q23" s="28"/>
      <c r="R23" s="28"/>
      <c r="S23" s="28"/>
      <c r="T23" s="28"/>
    </row>
    <row r="24" spans="1:22" ht="15.75" x14ac:dyDescent="0.25">
      <c r="A24" s="608"/>
      <c r="B24" s="608"/>
      <c r="C24" s="608"/>
      <c r="D24" s="28"/>
      <c r="E24" s="28"/>
      <c r="F24" s="28"/>
      <c r="G24" s="28"/>
      <c r="H24" s="28"/>
      <c r="I24" s="28"/>
      <c r="J24" s="28"/>
      <c r="K24" s="28"/>
      <c r="L24" s="28"/>
      <c r="M24" s="28"/>
      <c r="N24" s="28"/>
      <c r="O24" s="28"/>
      <c r="P24" s="28"/>
      <c r="Q24" s="28"/>
      <c r="R24" s="28"/>
      <c r="S24" s="28"/>
      <c r="T24" s="28"/>
    </row>
    <row r="25" spans="1:22" ht="15.75" x14ac:dyDescent="0.25">
      <c r="A25" s="608"/>
      <c r="B25" s="608"/>
      <c r="C25" s="608"/>
      <c r="D25" s="28"/>
      <c r="E25" s="28"/>
      <c r="F25" s="28"/>
      <c r="G25" s="28"/>
      <c r="H25" s="28"/>
      <c r="I25" s="28"/>
      <c r="J25" s="28"/>
      <c r="K25" s="28"/>
      <c r="L25" s="28"/>
      <c r="M25" s="28"/>
      <c r="N25" s="28"/>
      <c r="O25" s="28"/>
      <c r="P25" s="28"/>
      <c r="R25" s="28"/>
      <c r="S25" s="28"/>
      <c r="T25" s="28"/>
    </row>
    <row r="26" spans="1:22" ht="15.75" x14ac:dyDescent="0.25">
      <c r="A26" s="745" t="s">
        <v>173</v>
      </c>
      <c r="B26" s="745"/>
      <c r="C26" s="745"/>
      <c r="D26" s="28" t="s">
        <v>202</v>
      </c>
      <c r="E26" s="28"/>
      <c r="F26" s="28"/>
      <c r="G26" s="28"/>
      <c r="H26" s="28"/>
      <c r="I26" s="28"/>
      <c r="J26" s="28"/>
      <c r="K26" s="28"/>
      <c r="L26" s="28"/>
      <c r="M26" s="28"/>
      <c r="N26" s="28"/>
      <c r="O26" s="28"/>
      <c r="P26" s="28"/>
      <c r="Q26" s="28"/>
      <c r="R26" s="28"/>
      <c r="S26" s="28"/>
      <c r="T26" s="28"/>
    </row>
    <row r="27" spans="1:22" ht="15.75" x14ac:dyDescent="0.25">
      <c r="A27" s="608"/>
      <c r="B27" s="608"/>
      <c r="C27" s="608"/>
      <c r="D27" s="33" t="s">
        <v>197</v>
      </c>
      <c r="E27" s="28"/>
      <c r="F27" s="28" t="s">
        <v>203</v>
      </c>
      <c r="G27" s="28"/>
      <c r="H27" s="28"/>
      <c r="I27" s="28"/>
      <c r="J27" s="28"/>
      <c r="K27" s="28"/>
      <c r="L27" s="28"/>
      <c r="M27" s="28"/>
      <c r="N27" s="28"/>
      <c r="O27" s="28"/>
      <c r="Q27" s="28"/>
      <c r="R27" s="28"/>
      <c r="S27" s="28"/>
      <c r="T27" s="28"/>
    </row>
    <row r="28" spans="1:22" ht="15.75" x14ac:dyDescent="0.25">
      <c r="A28" s="608"/>
      <c r="B28" s="608"/>
      <c r="C28" s="608"/>
      <c r="D28" s="28" t="s">
        <v>199</v>
      </c>
      <c r="E28" s="28"/>
      <c r="F28" s="28" t="s">
        <v>204</v>
      </c>
      <c r="G28" s="28"/>
      <c r="H28" s="28"/>
      <c r="I28" s="28"/>
      <c r="J28" s="28"/>
      <c r="K28" s="28"/>
      <c r="L28" s="28"/>
      <c r="M28" s="28"/>
      <c r="N28" s="28"/>
      <c r="O28" s="28"/>
      <c r="P28" s="28"/>
      <c r="Q28" s="28"/>
      <c r="R28" s="28"/>
      <c r="S28" s="28"/>
      <c r="T28" s="28"/>
    </row>
    <row r="29" spans="1:22" ht="15.75" x14ac:dyDescent="0.25">
      <c r="A29" s="746"/>
      <c r="B29" s="746"/>
      <c r="C29" s="746"/>
      <c r="D29" s="28"/>
      <c r="E29" s="28"/>
      <c r="F29" s="28" t="s">
        <v>205</v>
      </c>
      <c r="G29" s="28"/>
      <c r="H29" s="28"/>
      <c r="I29" s="28"/>
      <c r="J29" s="28"/>
      <c r="K29" s="28"/>
      <c r="L29" s="28"/>
      <c r="M29" s="28"/>
      <c r="N29" s="28"/>
      <c r="O29" s="28"/>
      <c r="P29" s="28"/>
      <c r="Q29" s="28"/>
      <c r="R29" s="28"/>
      <c r="S29" s="28"/>
      <c r="T29" s="28"/>
      <c r="V29" s="26"/>
    </row>
    <row r="30" spans="1:22" ht="15.75" x14ac:dyDescent="0.25">
      <c r="A30" s="39"/>
      <c r="B30" s="39"/>
      <c r="C30" s="39"/>
      <c r="D30" s="28"/>
      <c r="E30" s="28"/>
      <c r="F30" s="28"/>
      <c r="G30" s="28"/>
      <c r="H30" s="28"/>
      <c r="I30" s="28"/>
      <c r="J30" s="28"/>
      <c r="K30" s="28"/>
      <c r="L30" s="28"/>
      <c r="M30" s="28"/>
      <c r="N30" s="28"/>
      <c r="O30" s="28"/>
      <c r="P30" s="28"/>
      <c r="Q30" s="28"/>
      <c r="R30" s="28"/>
      <c r="S30" s="28"/>
      <c r="T30" s="28"/>
      <c r="V30" s="26"/>
    </row>
    <row r="31" spans="1:22" ht="15.75" x14ac:dyDescent="0.25">
      <c r="A31" s="39"/>
      <c r="B31" s="39"/>
      <c r="C31" s="39"/>
      <c r="D31" s="28"/>
      <c r="E31" s="28"/>
      <c r="F31" s="28"/>
      <c r="G31" s="28"/>
      <c r="H31" s="28"/>
      <c r="I31" s="28"/>
      <c r="J31" s="28"/>
      <c r="K31" s="28"/>
      <c r="L31" s="28"/>
      <c r="M31" s="28"/>
      <c r="N31" s="28"/>
      <c r="O31" s="28"/>
      <c r="P31" s="28"/>
      <c r="Q31" s="28"/>
      <c r="R31" s="28"/>
      <c r="S31" s="28"/>
      <c r="T31" s="28"/>
      <c r="V31" s="26"/>
    </row>
    <row r="32" spans="1:22" ht="15.75" x14ac:dyDescent="0.25">
      <c r="A32" s="39"/>
      <c r="B32" s="39"/>
      <c r="C32" s="39"/>
      <c r="D32" s="28"/>
      <c r="E32" s="28"/>
      <c r="F32" s="28"/>
      <c r="G32" s="28"/>
      <c r="H32" s="28"/>
      <c r="I32" s="28"/>
      <c r="J32" s="28"/>
      <c r="K32" s="28"/>
      <c r="L32" s="28"/>
      <c r="M32" s="28"/>
      <c r="N32" s="28"/>
      <c r="O32" s="28"/>
      <c r="P32" s="28"/>
      <c r="Q32" s="28"/>
      <c r="R32" s="28"/>
      <c r="S32" s="28"/>
      <c r="T32" s="28"/>
      <c r="V32" s="26"/>
    </row>
    <row r="33" spans="1:22" ht="15.75" x14ac:dyDescent="0.25">
      <c r="A33" s="39"/>
      <c r="B33" s="39"/>
      <c r="C33" s="39"/>
      <c r="D33" s="28"/>
      <c r="E33" s="28"/>
      <c r="F33" s="28"/>
      <c r="G33" s="28"/>
      <c r="H33" s="28"/>
      <c r="I33" s="28"/>
      <c r="J33" s="28"/>
      <c r="K33" s="28"/>
      <c r="L33" s="28"/>
      <c r="M33" s="28"/>
      <c r="N33" s="28"/>
      <c r="O33" s="28"/>
      <c r="P33" s="28"/>
      <c r="Q33" s="28"/>
      <c r="R33" s="28"/>
      <c r="S33" s="28"/>
      <c r="T33" s="28"/>
      <c r="V33" s="26"/>
    </row>
    <row r="34" spans="1:22" ht="15.75" x14ac:dyDescent="0.25">
      <c r="A34" s="39"/>
      <c r="B34" s="39"/>
      <c r="C34" s="39"/>
      <c r="D34" s="28"/>
      <c r="E34" s="28"/>
      <c r="F34" s="28"/>
      <c r="G34" s="28"/>
      <c r="H34" s="28"/>
      <c r="I34" s="28"/>
      <c r="J34" s="28"/>
      <c r="K34" s="28"/>
      <c r="L34" s="28"/>
      <c r="M34" s="28"/>
      <c r="N34" s="28"/>
      <c r="O34" s="28"/>
      <c r="P34" s="28"/>
      <c r="Q34" s="28"/>
      <c r="R34" s="28"/>
      <c r="S34" s="28"/>
      <c r="T34" s="28"/>
      <c r="V34" s="26"/>
    </row>
    <row r="35" spans="1:22" ht="18.75" x14ac:dyDescent="0.3">
      <c r="A35" s="606" t="e">
        <f>_xlfn.SINGLE('Simulateur Fusion CFDT'!#REF!)</f>
        <v>#REF!</v>
      </c>
      <c r="B35" s="606"/>
      <c r="C35" s="606"/>
      <c r="D35" s="27" t="s">
        <v>206</v>
      </c>
      <c r="E35" s="28"/>
      <c r="K35" s="28"/>
      <c r="L35" s="28"/>
      <c r="M35" s="28"/>
      <c r="N35" s="28"/>
      <c r="O35" s="28"/>
      <c r="P35" s="28"/>
      <c r="Q35" s="28"/>
      <c r="R35" s="28"/>
      <c r="S35" s="28"/>
      <c r="T35" s="28"/>
      <c r="V35" s="26"/>
    </row>
    <row r="36" spans="1:22" ht="15.75" x14ac:dyDescent="0.25">
      <c r="A36" s="744"/>
      <c r="B36" s="744"/>
      <c r="C36" s="744"/>
      <c r="D36" s="33" t="s">
        <v>193</v>
      </c>
      <c r="E36" s="28"/>
      <c r="F36" s="28" t="s">
        <v>207</v>
      </c>
      <c r="K36" s="28"/>
      <c r="L36" s="28"/>
      <c r="M36" s="28"/>
      <c r="N36" s="28"/>
      <c r="O36" s="28"/>
      <c r="P36" s="28"/>
      <c r="Q36" s="28"/>
      <c r="R36" s="28"/>
      <c r="S36" s="28"/>
      <c r="T36" s="28"/>
      <c r="V36" s="26"/>
    </row>
    <row r="37" spans="1:22" ht="15.75" x14ac:dyDescent="0.25">
      <c r="E37" s="28"/>
      <c r="K37" s="28"/>
      <c r="L37" s="28"/>
      <c r="M37" s="28"/>
      <c r="N37" s="28"/>
      <c r="O37" s="28"/>
      <c r="P37" s="28"/>
      <c r="Q37" s="28"/>
      <c r="R37" s="28"/>
      <c r="S37" s="28"/>
      <c r="T37" s="28"/>
      <c r="V37" s="26"/>
    </row>
    <row r="38" spans="1:22" ht="15.75" x14ac:dyDescent="0.25">
      <c r="K38" s="28"/>
      <c r="L38" s="28"/>
      <c r="M38" s="28"/>
      <c r="N38" s="28"/>
      <c r="O38" s="28"/>
      <c r="P38" s="28"/>
      <c r="Q38" s="28"/>
      <c r="R38" s="28"/>
      <c r="S38" s="28"/>
      <c r="T38" s="28"/>
      <c r="V38" s="26"/>
    </row>
    <row r="39" spans="1:22" ht="15.75" x14ac:dyDescent="0.25">
      <c r="K39" s="28"/>
      <c r="L39" s="28"/>
      <c r="M39" s="28"/>
      <c r="N39" s="28"/>
      <c r="O39" s="28"/>
      <c r="P39" s="28"/>
      <c r="Q39" s="28"/>
      <c r="R39" s="28"/>
      <c r="S39" s="28"/>
      <c r="T39" s="28"/>
      <c r="V39" s="26"/>
    </row>
    <row r="40" spans="1:22" ht="15.75" x14ac:dyDescent="0.25">
      <c r="K40" s="28"/>
      <c r="L40" s="28"/>
      <c r="M40" s="28"/>
      <c r="N40" s="28"/>
      <c r="O40" s="28"/>
      <c r="P40" s="28"/>
      <c r="Q40" s="28"/>
      <c r="R40" s="28"/>
      <c r="S40" s="28"/>
      <c r="T40" s="28"/>
      <c r="V40" s="26"/>
    </row>
    <row r="41" spans="1:22" ht="15.75" x14ac:dyDescent="0.25">
      <c r="K41" s="28"/>
      <c r="L41" s="28"/>
      <c r="M41" s="28"/>
      <c r="N41" s="28"/>
      <c r="O41" s="28"/>
      <c r="P41" s="28"/>
      <c r="Q41" s="28"/>
      <c r="R41" s="28"/>
      <c r="S41" s="28"/>
      <c r="T41" s="28"/>
      <c r="V41" s="26"/>
    </row>
    <row r="42" spans="1:22" ht="15.75" x14ac:dyDescent="0.25">
      <c r="K42" s="28"/>
      <c r="L42" s="28"/>
      <c r="M42" s="28"/>
      <c r="N42" s="28"/>
      <c r="O42" s="28"/>
      <c r="P42" s="28"/>
      <c r="Q42" s="28"/>
      <c r="R42" s="28"/>
      <c r="S42" s="28"/>
      <c r="T42" s="28"/>
      <c r="V42" s="26"/>
    </row>
    <row r="43" spans="1:22" ht="15.75" x14ac:dyDescent="0.25">
      <c r="F43" t="s">
        <v>208</v>
      </c>
      <c r="K43" s="28"/>
      <c r="L43" s="28"/>
      <c r="M43" s="28"/>
      <c r="N43" s="28"/>
      <c r="O43" s="28"/>
      <c r="P43" s="28"/>
      <c r="Q43" s="28"/>
      <c r="R43" s="28"/>
      <c r="S43" s="28"/>
      <c r="T43" s="28"/>
      <c r="V43" s="26"/>
    </row>
    <row r="44" spans="1:22" ht="15.75" x14ac:dyDescent="0.25">
      <c r="K44" s="28"/>
      <c r="L44" s="28"/>
      <c r="M44" s="28"/>
      <c r="N44" s="28"/>
      <c r="O44" s="28"/>
      <c r="P44" s="28"/>
      <c r="Q44" s="28"/>
      <c r="R44" s="28"/>
      <c r="S44" s="28"/>
      <c r="T44" s="28"/>
      <c r="V44" s="26"/>
    </row>
    <row r="45" spans="1:22" ht="15.75" x14ac:dyDescent="0.25">
      <c r="A45" s="39"/>
      <c r="B45" s="39"/>
      <c r="C45" s="39"/>
      <c r="D45" s="28"/>
      <c r="E45" s="28"/>
      <c r="F45" s="28"/>
      <c r="G45" s="28"/>
      <c r="H45" s="28"/>
      <c r="I45" s="28"/>
      <c r="J45" s="28"/>
      <c r="K45" s="28"/>
      <c r="L45" s="28"/>
      <c r="M45" s="28"/>
      <c r="N45" s="28"/>
      <c r="O45" s="28"/>
      <c r="P45" s="28"/>
      <c r="Q45" s="28"/>
      <c r="R45" s="28"/>
      <c r="S45" s="28"/>
      <c r="T45" s="28"/>
      <c r="V45" s="26"/>
    </row>
    <row r="46" spans="1:22" ht="15.75" x14ac:dyDescent="0.25">
      <c r="A46" s="39"/>
      <c r="B46" s="39"/>
      <c r="C46" s="39"/>
      <c r="D46" s="28"/>
      <c r="E46" s="28"/>
      <c r="F46" s="28"/>
      <c r="G46" s="28"/>
      <c r="H46" s="28"/>
      <c r="I46" s="28"/>
      <c r="J46" s="28"/>
      <c r="K46" s="28"/>
      <c r="L46" s="28"/>
      <c r="M46" s="28"/>
      <c r="N46" s="28"/>
      <c r="O46" s="28"/>
      <c r="P46" s="28"/>
      <c r="Q46" s="28"/>
      <c r="R46" s="28"/>
      <c r="S46" s="28"/>
      <c r="T46" s="28"/>
      <c r="V46" s="26"/>
    </row>
    <row r="47" spans="1:22" ht="15.75" x14ac:dyDescent="0.25">
      <c r="A47" s="39"/>
      <c r="B47" s="39"/>
      <c r="C47" s="39"/>
      <c r="D47" s="28"/>
      <c r="E47" s="28"/>
      <c r="F47" s="28"/>
      <c r="G47" s="28"/>
      <c r="H47" s="28"/>
      <c r="I47" s="28"/>
      <c r="J47" s="28"/>
      <c r="K47" s="28"/>
      <c r="L47" s="28"/>
      <c r="M47" s="28"/>
      <c r="N47" s="28"/>
      <c r="O47" s="28"/>
      <c r="P47" s="28"/>
      <c r="Q47" s="28"/>
      <c r="R47" s="28"/>
      <c r="S47" s="28"/>
      <c r="T47" s="28"/>
      <c r="V47" s="26"/>
    </row>
    <row r="48" spans="1:22" ht="15.75" x14ac:dyDescent="0.25">
      <c r="A48" s="39"/>
      <c r="B48" s="39"/>
      <c r="C48" s="39"/>
      <c r="D48" s="28"/>
      <c r="E48" s="28"/>
      <c r="F48" s="28"/>
      <c r="G48" s="28"/>
      <c r="H48" s="28"/>
      <c r="I48" s="28"/>
      <c r="J48" s="28"/>
      <c r="K48" s="28"/>
      <c r="L48" s="28"/>
      <c r="M48" s="28"/>
      <c r="N48" s="28"/>
      <c r="O48" s="28"/>
      <c r="P48" s="28"/>
      <c r="Q48" s="28"/>
      <c r="R48" s="28"/>
      <c r="S48" s="28"/>
      <c r="T48" s="28"/>
      <c r="V48" s="26"/>
    </row>
    <row r="49" spans="1:22" ht="15.75" x14ac:dyDescent="0.25">
      <c r="A49" s="39"/>
      <c r="B49" s="39"/>
      <c r="C49" s="39"/>
      <c r="D49" s="28"/>
      <c r="E49" s="28"/>
      <c r="F49" s="28"/>
      <c r="G49" s="28"/>
      <c r="H49" s="28"/>
      <c r="I49" s="28"/>
      <c r="J49" s="28"/>
      <c r="K49" s="28"/>
      <c r="L49" s="28"/>
      <c r="M49" s="28"/>
      <c r="N49" s="28"/>
      <c r="O49" s="28"/>
      <c r="P49" s="28"/>
      <c r="Q49" s="28"/>
      <c r="R49" s="28"/>
      <c r="S49" s="28"/>
      <c r="T49" s="28"/>
      <c r="V49" s="26"/>
    </row>
    <row r="50" spans="1:22" ht="18.75" x14ac:dyDescent="0.3">
      <c r="A50" s="606">
        <f>'Simulateur Fusion CFDT'!D6</f>
        <v>0</v>
      </c>
      <c r="B50" s="606"/>
      <c r="C50" s="606" t="s">
        <v>181</v>
      </c>
      <c r="D50" s="27" t="s">
        <v>209</v>
      </c>
      <c r="E50" s="28"/>
      <c r="F50" s="33"/>
      <c r="G50" s="28"/>
      <c r="H50" s="28"/>
      <c r="I50" s="28"/>
      <c r="J50" s="28"/>
      <c r="K50" s="28"/>
      <c r="L50" s="28"/>
      <c r="M50" s="28"/>
      <c r="N50" s="28"/>
      <c r="O50" s="28"/>
      <c r="P50" s="28"/>
      <c r="Q50" s="28"/>
      <c r="R50" s="28"/>
      <c r="S50" s="28"/>
      <c r="T50" s="28"/>
    </row>
    <row r="51" spans="1:22" ht="15.75" x14ac:dyDescent="0.25">
      <c r="A51" s="744"/>
      <c r="B51" s="744"/>
      <c r="C51" s="744"/>
      <c r="D51" s="38" t="s">
        <v>210</v>
      </c>
      <c r="E51" s="29"/>
      <c r="F51" s="28" t="s">
        <v>211</v>
      </c>
      <c r="G51" s="28"/>
      <c r="H51" s="28"/>
      <c r="I51" s="28"/>
      <c r="J51" s="28"/>
      <c r="K51" s="28"/>
      <c r="L51" s="28"/>
      <c r="M51" s="28"/>
      <c r="N51" s="28"/>
      <c r="O51" s="28"/>
      <c r="P51" s="28"/>
      <c r="Q51" s="28"/>
      <c r="R51" s="28"/>
      <c r="S51" s="28"/>
      <c r="T51" s="28"/>
    </row>
    <row r="52" spans="1:22" ht="15.75" x14ac:dyDescent="0.25">
      <c r="D52" s="28" t="s">
        <v>212</v>
      </c>
      <c r="E52" s="28"/>
      <c r="F52" s="28" t="s">
        <v>213</v>
      </c>
      <c r="G52" s="28"/>
      <c r="H52" s="28"/>
      <c r="I52" s="28"/>
      <c r="J52" s="28"/>
      <c r="K52" s="28"/>
      <c r="L52" s="28"/>
      <c r="M52" s="28"/>
      <c r="N52" s="28"/>
      <c r="O52" s="28"/>
      <c r="P52" s="28"/>
      <c r="Q52" s="28"/>
      <c r="R52" s="28"/>
      <c r="S52" s="28"/>
      <c r="T52" s="28"/>
    </row>
    <row r="53" spans="1:22" ht="15.75" x14ac:dyDescent="0.25">
      <c r="D53" s="28"/>
      <c r="E53" s="28"/>
      <c r="G53" s="28"/>
      <c r="H53" s="28"/>
      <c r="I53" s="28"/>
      <c r="J53" s="28"/>
      <c r="K53" s="28"/>
      <c r="L53" s="28"/>
      <c r="M53" s="28"/>
      <c r="N53" s="28"/>
      <c r="O53" s="28"/>
      <c r="P53" s="28"/>
      <c r="Q53" s="28"/>
      <c r="R53" s="28"/>
      <c r="S53" s="28"/>
      <c r="T53" s="28"/>
    </row>
    <row r="54" spans="1:22" ht="15.75" x14ac:dyDescent="0.25">
      <c r="D54" s="28"/>
      <c r="E54" s="28"/>
      <c r="F54" s="28"/>
      <c r="G54" s="28"/>
      <c r="H54" s="28"/>
      <c r="I54" s="28"/>
      <c r="J54" s="28"/>
      <c r="K54" s="28"/>
      <c r="L54" s="28"/>
      <c r="M54" s="28"/>
      <c r="N54" s="28"/>
      <c r="O54" s="28"/>
      <c r="P54" s="28"/>
      <c r="Q54" s="28"/>
      <c r="R54" s="28"/>
      <c r="T54" s="28"/>
    </row>
    <row r="55" spans="1:22" ht="15.75" x14ac:dyDescent="0.25">
      <c r="D55" s="28"/>
      <c r="E55" s="28"/>
      <c r="F55" s="28"/>
      <c r="G55" s="28"/>
      <c r="H55" s="28"/>
      <c r="I55" s="28"/>
      <c r="J55" s="28"/>
      <c r="K55" s="28"/>
      <c r="L55" s="28"/>
      <c r="M55" s="28"/>
      <c r="N55" s="28"/>
      <c r="O55" s="28"/>
      <c r="P55" s="28"/>
      <c r="Q55" s="28"/>
      <c r="R55" s="28"/>
      <c r="S55" s="28"/>
      <c r="T55" s="28"/>
    </row>
    <row r="56" spans="1:22" ht="15.75" x14ac:dyDescent="0.25">
      <c r="D56" s="28"/>
      <c r="E56" s="28"/>
      <c r="F56" s="28"/>
      <c r="G56" s="28"/>
      <c r="H56" s="28"/>
      <c r="I56" s="28"/>
      <c r="J56" s="28"/>
      <c r="K56" s="28"/>
      <c r="L56" s="28"/>
      <c r="M56" s="28"/>
      <c r="N56" s="28"/>
      <c r="O56" s="28"/>
      <c r="P56" s="28"/>
      <c r="Q56" s="28"/>
      <c r="R56" s="28"/>
      <c r="S56" s="28"/>
      <c r="T56" s="28"/>
    </row>
    <row r="57" spans="1:22" ht="15.75" x14ac:dyDescent="0.25">
      <c r="D57" s="28"/>
      <c r="E57" s="28"/>
      <c r="F57" s="28"/>
      <c r="G57" s="28"/>
      <c r="H57" s="28"/>
      <c r="I57" s="28"/>
      <c r="J57" s="28"/>
      <c r="K57" s="28"/>
      <c r="L57" s="28"/>
      <c r="M57" s="28"/>
      <c r="N57" s="28"/>
      <c r="O57" s="28"/>
      <c r="P57" s="28"/>
      <c r="Q57" s="28"/>
      <c r="R57" s="28"/>
      <c r="S57" s="28"/>
      <c r="T57" s="28"/>
    </row>
    <row r="58" spans="1:22" ht="15.75" x14ac:dyDescent="0.25">
      <c r="D58" s="28"/>
      <c r="E58" s="28"/>
      <c r="F58" s="28"/>
      <c r="G58" s="28"/>
      <c r="H58" s="28"/>
      <c r="I58" s="28"/>
      <c r="J58" s="28"/>
      <c r="K58" s="28"/>
      <c r="L58" s="28"/>
      <c r="M58" s="28"/>
      <c r="N58" s="28"/>
      <c r="O58" s="28"/>
      <c r="P58" s="28"/>
      <c r="Q58" s="28"/>
      <c r="R58" s="28"/>
      <c r="S58" s="28"/>
      <c r="T58" s="28"/>
    </row>
    <row r="59" spans="1:22" ht="15.75" x14ac:dyDescent="0.25">
      <c r="D59" s="28"/>
      <c r="E59" s="28"/>
      <c r="F59" s="28"/>
      <c r="G59" s="28"/>
      <c r="H59" s="28"/>
      <c r="I59" s="28"/>
      <c r="J59" s="28"/>
      <c r="K59" s="28"/>
      <c r="L59" s="28"/>
      <c r="M59" s="28"/>
      <c r="N59" s="28"/>
      <c r="O59" s="28"/>
      <c r="P59" s="28"/>
      <c r="Q59" s="28"/>
      <c r="R59" s="28"/>
      <c r="S59" s="28"/>
      <c r="T59" s="28"/>
    </row>
    <row r="60" spans="1:22" ht="15.75" x14ac:dyDescent="0.25">
      <c r="D60" s="30" t="s">
        <v>214</v>
      </c>
      <c r="E60" s="28"/>
      <c r="F60" s="28"/>
      <c r="G60" s="28"/>
      <c r="H60" s="28"/>
      <c r="I60" s="28"/>
      <c r="J60" s="28"/>
      <c r="K60" s="28"/>
      <c r="L60" s="28"/>
      <c r="M60" s="28"/>
      <c r="N60" s="28"/>
      <c r="O60" s="28"/>
      <c r="P60" s="28"/>
      <c r="Q60" s="28"/>
      <c r="R60" s="28"/>
      <c r="S60" s="28"/>
      <c r="T60" s="28"/>
    </row>
  </sheetData>
  <mergeCells count="27">
    <mergeCell ref="A35:C35"/>
    <mergeCell ref="A36:C36"/>
    <mergeCell ref="A50:C50"/>
    <mergeCell ref="A51:C51"/>
    <mergeCell ref="A24:C24"/>
    <mergeCell ref="A25:C25"/>
    <mergeCell ref="A26:C26"/>
    <mergeCell ref="A27:C27"/>
    <mergeCell ref="A28:C28"/>
    <mergeCell ref="A29:C29"/>
    <mergeCell ref="A20:C20"/>
    <mergeCell ref="A9:C9"/>
    <mergeCell ref="A10:C10"/>
    <mergeCell ref="A11:C11"/>
    <mergeCell ref="A12:C12"/>
    <mergeCell ref="A13:C13"/>
    <mergeCell ref="A14:C14"/>
    <mergeCell ref="A15:C15"/>
    <mergeCell ref="A16:C16"/>
    <mergeCell ref="A17:C17"/>
    <mergeCell ref="A18:C18"/>
    <mergeCell ref="A19:C19"/>
    <mergeCell ref="A5:C5"/>
    <mergeCell ref="A6:C6"/>
    <mergeCell ref="A7:C7"/>
    <mergeCell ref="A8:C8"/>
    <mergeCell ref="D1:I4"/>
  </mergeCells>
  <hyperlinks>
    <hyperlink ref="D9" r:id="rId1" xr:uid="{5FC10B64-BA54-400A-82C4-245AE86FA0F7}"/>
    <hyperlink ref="D36" r:id="rId2" xr:uid="{E3D99265-A906-4F39-9294-84FA3965E940}"/>
    <hyperlink ref="D27" r:id="rId3" xr:uid="{3AB434B6-A1E5-4D3D-89A9-E3AA3A08CD60}"/>
    <hyperlink ref="D19" r:id="rId4" xr:uid="{D7288524-381A-4708-AFC3-651AC8F3D2AF}"/>
    <hyperlink ref="I5" location="'Simulator RCC CFDT-EN'!A1" display="Back to simulator" xr:uid="{29E2113F-B631-498E-9F63-21ACBCF93C40}"/>
    <hyperlink ref="D51" r:id="rId5" xr:uid="{3EA9B3B2-1B72-436F-9F8F-111DFB62733A}"/>
  </hyperlinks>
  <pageMargins left="0.7" right="0.7" top="0.75" bottom="0.75" header="0.3" footer="0.3"/>
  <pageSetup orientation="portrait" r:id="rId6"/>
  <headerFooter>
    <oddHeader>&amp;R&amp;"Calibri"&amp;12&amp;KFF8C00CONFIDENTIAL &amp; RESTRICTED&amp;1#</oddHeader>
  </headerFooter>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77FD-50CE-4DDB-A95B-77826C8E40A4}">
  <dimension ref="A1:R140"/>
  <sheetViews>
    <sheetView topLeftCell="A97" zoomScale="110" zoomScaleNormal="110" workbookViewId="0">
      <selection activeCell="C41" sqref="A41:N69"/>
    </sheetView>
  </sheetViews>
  <sheetFormatPr defaultColWidth="9.140625" defaultRowHeight="15" x14ac:dyDescent="0.25"/>
  <cols>
    <col min="1" max="1" width="34.28515625" style="1" customWidth="1"/>
    <col min="2" max="2" width="14.7109375" style="1" bestFit="1" customWidth="1"/>
    <col min="3" max="3" width="14.85546875" style="1" customWidth="1"/>
    <col min="4" max="4" width="13.42578125" style="1" customWidth="1"/>
    <col min="5" max="5" width="11.28515625" style="1" customWidth="1"/>
    <col min="6" max="6" width="14.7109375" style="1" customWidth="1"/>
    <col min="7" max="7" width="12.85546875" style="1" customWidth="1"/>
    <col min="8" max="8" width="14.85546875" style="1" customWidth="1"/>
    <col min="9" max="9" width="13.42578125" style="1" customWidth="1"/>
    <col min="10" max="10" width="13.85546875" style="1" bestFit="1" customWidth="1"/>
    <col min="11" max="11" width="16" style="1" customWidth="1"/>
    <col min="12" max="12" width="17.140625" style="1" customWidth="1"/>
    <col min="13" max="13" width="9.140625" style="1"/>
    <col min="14" max="14" width="9.5703125" style="1" bestFit="1" customWidth="1"/>
    <col min="15" max="15" width="12.7109375" style="1" customWidth="1"/>
    <col min="16" max="16" width="13.5703125" style="1" customWidth="1"/>
    <col min="17" max="16384" width="9.140625" style="1"/>
  </cols>
  <sheetData>
    <row r="1" spans="1:16" x14ac:dyDescent="0.25">
      <c r="A1" s="16" t="s">
        <v>50</v>
      </c>
      <c r="B1" s="15">
        <v>82272</v>
      </c>
      <c r="D1" s="37" t="s">
        <v>51</v>
      </c>
      <c r="E1" s="15">
        <v>3428</v>
      </c>
      <c r="F1" s="37" t="s">
        <v>52</v>
      </c>
      <c r="G1" s="15">
        <v>13712</v>
      </c>
      <c r="H1" s="37" t="s">
        <v>53</v>
      </c>
      <c r="I1" s="35">
        <v>0.98250000000000004</v>
      </c>
    </row>
    <row r="2" spans="1:16" x14ac:dyDescent="0.25">
      <c r="A2" s="16"/>
      <c r="B2" s="15"/>
      <c r="D2" s="37"/>
      <c r="E2" s="15"/>
      <c r="F2" s="37"/>
      <c r="G2" s="15"/>
      <c r="H2" s="37"/>
      <c r="I2" s="35"/>
    </row>
    <row r="3" spans="1:16" s="204" customFormat="1" ht="23.25" customHeight="1" x14ac:dyDescent="0.35">
      <c r="A3" s="749" t="s">
        <v>215</v>
      </c>
      <c r="B3" s="749"/>
      <c r="C3" s="748">
        <f>'Simulateur Fusion CFDT'!B11</f>
        <v>45000</v>
      </c>
      <c r="D3" s="748"/>
      <c r="G3" s="210" t="s">
        <v>216</v>
      </c>
    </row>
    <row r="4" spans="1:16" x14ac:dyDescent="0.25">
      <c r="A4" s="200"/>
      <c r="B4" s="201"/>
      <c r="F4" s="16"/>
      <c r="H4" s="15"/>
    </row>
    <row r="5" spans="1:16" ht="18" x14ac:dyDescent="0.25">
      <c r="A5" s="74" t="s">
        <v>217</v>
      </c>
      <c r="B5" s="75"/>
      <c r="C5" s="666"/>
      <c r="D5" s="666"/>
      <c r="E5" s="666"/>
      <c r="F5" s="667"/>
      <c r="J5" s="676" t="s">
        <v>6</v>
      </c>
      <c r="K5" s="676"/>
      <c r="L5" s="676"/>
      <c r="M5" s="676"/>
      <c r="N5" s="676"/>
    </row>
    <row r="6" spans="1:16" x14ac:dyDescent="0.25">
      <c r="A6" s="149"/>
      <c r="B6" s="668" t="s">
        <v>56</v>
      </c>
      <c r="C6" s="669"/>
      <c r="D6" s="669"/>
      <c r="E6" s="127"/>
      <c r="F6" s="128"/>
      <c r="J6" s="668" t="s">
        <v>56</v>
      </c>
      <c r="K6" s="669"/>
      <c r="L6" s="669"/>
      <c r="M6" s="127"/>
      <c r="N6" s="128"/>
    </row>
    <row r="7" spans="1:16" x14ac:dyDescent="0.25">
      <c r="A7" s="139"/>
      <c r="B7" s="670" t="s">
        <v>57</v>
      </c>
      <c r="C7" s="671"/>
      <c r="D7" s="671"/>
      <c r="E7" s="129">
        <v>1</v>
      </c>
      <c r="F7" s="130" t="s">
        <v>58</v>
      </c>
      <c r="G7" s="672" t="s">
        <v>59</v>
      </c>
      <c r="H7" s="673"/>
      <c r="J7" s="670" t="s">
        <v>57</v>
      </c>
      <c r="K7" s="671"/>
      <c r="L7" s="671"/>
      <c r="M7" s="129">
        <v>1</v>
      </c>
      <c r="N7" s="130" t="s">
        <v>58</v>
      </c>
      <c r="O7" s="672" t="s">
        <v>59</v>
      </c>
      <c r="P7" s="673"/>
    </row>
    <row r="8" spans="1:16" x14ac:dyDescent="0.25">
      <c r="A8" s="139"/>
      <c r="B8" s="131" t="s">
        <v>60</v>
      </c>
      <c r="C8" s="132" t="s">
        <v>61</v>
      </c>
      <c r="D8" s="132" t="s">
        <v>62</v>
      </c>
      <c r="E8" s="674" t="s">
        <v>63</v>
      </c>
      <c r="F8" s="675"/>
      <c r="G8" s="120" t="s">
        <v>38</v>
      </c>
      <c r="H8" s="64" t="s">
        <v>27</v>
      </c>
      <c r="J8" s="131" t="s">
        <v>60</v>
      </c>
      <c r="K8" s="132" t="s">
        <v>61</v>
      </c>
      <c r="L8" s="132" t="s">
        <v>62</v>
      </c>
      <c r="M8" s="674" t="s">
        <v>63</v>
      </c>
      <c r="N8" s="675"/>
      <c r="O8" s="120" t="s">
        <v>38</v>
      </c>
      <c r="P8" s="64" t="s">
        <v>27</v>
      </c>
    </row>
    <row r="9" spans="1:16" ht="18.75" x14ac:dyDescent="0.3">
      <c r="A9" s="139"/>
      <c r="B9" s="202" t="s">
        <v>218</v>
      </c>
      <c r="C9" s="134">
        <f>C10+C11</f>
        <v>3037.8</v>
      </c>
      <c r="D9" s="198">
        <f>C9-G9</f>
        <v>2287.7114634175</v>
      </c>
      <c r="E9" s="136"/>
      <c r="F9" s="137">
        <f>SUM(F13:F37)</f>
        <v>1534.6029080618021</v>
      </c>
      <c r="G9" s="121">
        <f>G15+G22+G35</f>
        <v>750.08853658250018</v>
      </c>
      <c r="H9" s="65">
        <f>F9</f>
        <v>1534.6029080618021</v>
      </c>
      <c r="J9" s="202" t="s">
        <v>218</v>
      </c>
      <c r="K9" s="134">
        <f>K10+K11</f>
        <v>3037.8</v>
      </c>
      <c r="L9" s="135">
        <f>K9-O9</f>
        <v>2287.7114634175</v>
      </c>
      <c r="M9" s="136"/>
      <c r="N9" s="137">
        <f>SUM(N13:N37)</f>
        <v>1534.6029080618021</v>
      </c>
      <c r="O9" s="121">
        <f>O15+O22+O35</f>
        <v>750.08853658250018</v>
      </c>
      <c r="P9" s="65">
        <f>N9</f>
        <v>1534.6029080618021</v>
      </c>
    </row>
    <row r="10" spans="1:16" ht="15.75" x14ac:dyDescent="0.25">
      <c r="A10" s="150" t="s">
        <v>64</v>
      </c>
      <c r="B10" s="203">
        <f>'Simulateur Fusion CFDT'!O55</f>
        <v>1.26E-2</v>
      </c>
      <c r="C10" s="197">
        <f>B10*C11</f>
        <v>37.799999999999997</v>
      </c>
      <c r="D10" s="138"/>
      <c r="E10" s="136"/>
      <c r="F10" s="137"/>
      <c r="G10" s="122">
        <f>G9/C11</f>
        <v>0.25002951219416675</v>
      </c>
      <c r="H10" s="67">
        <f>H9/C11</f>
        <v>0.51153430268726741</v>
      </c>
      <c r="J10" s="203">
        <f>B10</f>
        <v>1.26E-2</v>
      </c>
      <c r="K10" s="197">
        <f>J10*K11</f>
        <v>37.799999999999997</v>
      </c>
      <c r="L10" s="138"/>
      <c r="M10" s="136"/>
      <c r="N10" s="137"/>
      <c r="O10" s="122">
        <f>O9/K9</f>
        <v>0.24691834109635266</v>
      </c>
      <c r="P10" s="67">
        <f>P9/K9</f>
        <v>0.50516917113101656</v>
      </c>
    </row>
    <row r="11" spans="1:16" ht="15.75" x14ac:dyDescent="0.25">
      <c r="A11" s="151"/>
      <c r="B11" s="133"/>
      <c r="C11" s="197">
        <f>'Simulateur Fusion CFDT'!D45</f>
        <v>3000</v>
      </c>
      <c r="D11" s="138"/>
      <c r="E11" s="136"/>
      <c r="F11" s="137"/>
      <c r="J11" s="133"/>
      <c r="K11" s="197">
        <f>'Simulateur Fusion CFDT'!D45</f>
        <v>3000</v>
      </c>
      <c r="L11" s="138"/>
      <c r="M11" s="136"/>
      <c r="N11" s="137"/>
    </row>
    <row r="12" spans="1:16" x14ac:dyDescent="0.25">
      <c r="A12" s="150"/>
      <c r="B12" s="139"/>
      <c r="C12" s="118"/>
      <c r="D12" s="118"/>
      <c r="E12" s="118"/>
      <c r="F12" s="69"/>
      <c r="J12" s="139"/>
      <c r="K12" s="118"/>
      <c r="L12" s="118"/>
      <c r="M12" s="118"/>
      <c r="N12" s="69"/>
    </row>
    <row r="13" spans="1:16" x14ac:dyDescent="0.25">
      <c r="A13" s="86" t="s">
        <v>67</v>
      </c>
      <c r="B13" s="140"/>
      <c r="C13" s="88"/>
      <c r="D13" s="88"/>
      <c r="E13" s="89"/>
      <c r="F13" s="90"/>
      <c r="G13" s="672" t="s">
        <v>68</v>
      </c>
      <c r="H13" s="673"/>
      <c r="J13" s="140"/>
      <c r="K13" s="88"/>
      <c r="L13" s="88"/>
      <c r="M13" s="89"/>
      <c r="N13" s="90"/>
      <c r="O13" s="672" t="s">
        <v>68</v>
      </c>
      <c r="P13" s="673"/>
    </row>
    <row r="14" spans="1:16" x14ac:dyDescent="0.25">
      <c r="A14" s="56" t="s">
        <v>33</v>
      </c>
      <c r="B14" s="141">
        <f>$E$1</f>
        <v>3428</v>
      </c>
      <c r="C14" s="49">
        <v>1.67E-2</v>
      </c>
      <c r="D14" s="58">
        <f>C14*B14</f>
        <v>57.247599999999998</v>
      </c>
      <c r="E14" s="50">
        <v>2.0399649941656946E-2</v>
      </c>
      <c r="F14" s="82">
        <f>E14*B14</f>
        <v>69.930000000000007</v>
      </c>
      <c r="G14" s="120" t="s">
        <v>38</v>
      </c>
      <c r="H14" s="64" t="s">
        <v>27</v>
      </c>
      <c r="I14" s="34"/>
      <c r="J14" s="141">
        <f>E1</f>
        <v>3428</v>
      </c>
      <c r="K14" s="49">
        <v>1.67E-2</v>
      </c>
      <c r="L14" s="58">
        <f>K14*J14</f>
        <v>57.247599999999998</v>
      </c>
      <c r="M14" s="50">
        <v>2.0399649941656946E-2</v>
      </c>
      <c r="N14" s="82">
        <f>M14*J14</f>
        <v>69.930000000000007</v>
      </c>
      <c r="O14" s="120" t="s">
        <v>38</v>
      </c>
      <c r="P14" s="64" t="s">
        <v>27</v>
      </c>
    </row>
    <row r="15" spans="1:16" x14ac:dyDescent="0.25">
      <c r="A15" s="207" t="s">
        <v>69</v>
      </c>
      <c r="B15" s="145">
        <f>$E$1</f>
        <v>3428</v>
      </c>
      <c r="C15" s="85">
        <v>6.6E-4</v>
      </c>
      <c r="D15" s="208">
        <f>C15*B15</f>
        <v>2.26248</v>
      </c>
      <c r="E15" s="50">
        <v>5.3967327887981329E-4</v>
      </c>
      <c r="F15" s="209">
        <f>E15*B15</f>
        <v>1.8499999999999999</v>
      </c>
      <c r="G15" s="123">
        <f>D14+D15+D16+D17+D26+D27+D28</f>
        <v>101.00130249999999</v>
      </c>
      <c r="H15" s="114">
        <f>F14+F16+F17+F26+F27+F28</f>
        <v>111.4212225</v>
      </c>
      <c r="I15" s="34"/>
      <c r="J15" s="145">
        <f>E1</f>
        <v>3428</v>
      </c>
      <c r="K15" s="85">
        <v>6.6E-4</v>
      </c>
      <c r="L15" s="208">
        <f>K15*J15</f>
        <v>2.26248</v>
      </c>
      <c r="M15" s="50">
        <v>5.3967327887981329E-4</v>
      </c>
      <c r="N15" s="209">
        <f>M15*J15</f>
        <v>1.8499999999999999</v>
      </c>
      <c r="O15" s="123">
        <f>L14+L15+L16+L17+L26+L27+L28</f>
        <v>101.00130249999999</v>
      </c>
      <c r="P15" s="114">
        <f>N14+N16+N17+N26+N27+N28</f>
        <v>111.4212225</v>
      </c>
    </row>
    <row r="16" spans="1:16" x14ac:dyDescent="0.25">
      <c r="A16" s="56" t="s">
        <v>70</v>
      </c>
      <c r="B16" s="141">
        <f>IF(B18&gt;$E$1,$E$1, B18)</f>
        <v>3039.65</v>
      </c>
      <c r="C16" s="49">
        <v>4.6499999999999996E-3</v>
      </c>
      <c r="D16" s="58">
        <f>C16*B16</f>
        <v>14.1343725</v>
      </c>
      <c r="E16" s="50">
        <f>C16</f>
        <v>4.6499999999999996E-3</v>
      </c>
      <c r="F16" s="82">
        <f>E16*B16</f>
        <v>14.1343725</v>
      </c>
      <c r="G16" s="148">
        <f>G15/C11</f>
        <v>3.3667100833333331E-2</v>
      </c>
      <c r="H16" s="117">
        <f>H15/C11</f>
        <v>3.71404075E-2</v>
      </c>
      <c r="J16" s="141">
        <f>IF(J18&gt;$E$1,$E$1, J18)</f>
        <v>3039.65</v>
      </c>
      <c r="K16" s="49">
        <v>4.6499999999999996E-3</v>
      </c>
      <c r="L16" s="58">
        <f>K16*J16</f>
        <v>14.1343725</v>
      </c>
      <c r="M16" s="50">
        <f>K16</f>
        <v>4.6499999999999996E-3</v>
      </c>
      <c r="N16" s="82">
        <f>M16*J16</f>
        <v>14.1343725</v>
      </c>
      <c r="O16" s="124">
        <f>O15/K9</f>
        <v>3.3248173842912628E-2</v>
      </c>
      <c r="P16" s="67">
        <f>P15/K9</f>
        <v>3.667826140628086E-2</v>
      </c>
    </row>
    <row r="17" spans="1:17" x14ac:dyDescent="0.25">
      <c r="A17" s="56" t="s">
        <v>71</v>
      </c>
      <c r="B17" s="141">
        <f>IF((B18-B16)&lt;0,0,IF((B18-B16)&lt;$G$1,B18-B16,$G$1))</f>
        <v>0</v>
      </c>
      <c r="C17" s="49">
        <v>6.0000000000000001E-3</v>
      </c>
      <c r="D17" s="58">
        <f>C17*B17</f>
        <v>0</v>
      </c>
      <c r="E17" s="50">
        <v>6.0000000000000001E-3</v>
      </c>
      <c r="F17" s="82">
        <f t="shared" ref="F17" si="0">E17*B17</f>
        <v>0</v>
      </c>
      <c r="G17" s="158">
        <f>D14+D15</f>
        <v>59.510080000000002</v>
      </c>
      <c r="H17" s="154">
        <f>F14+F15</f>
        <v>71.78</v>
      </c>
      <c r="I17" s="1" t="s">
        <v>33</v>
      </c>
      <c r="J17" s="141">
        <f>IF((J18-J16)&lt;0,0,IF((J18-J16)&lt;$G$1,J18-J16,$G$1))</f>
        <v>0</v>
      </c>
      <c r="K17" s="49">
        <v>6.0000000000000001E-3</v>
      </c>
      <c r="L17" s="58">
        <f>K17*J17</f>
        <v>0</v>
      </c>
      <c r="M17" s="50">
        <v>6.0000000000000001E-3</v>
      </c>
      <c r="N17" s="82">
        <f t="shared" ref="N17" si="1">M17*J17</f>
        <v>0</v>
      </c>
      <c r="O17" s="158">
        <f>L14+L15</f>
        <v>59.510080000000002</v>
      </c>
      <c r="P17" s="154">
        <f>N14+N15</f>
        <v>71.78</v>
      </c>
      <c r="Q17" s="1" t="s">
        <v>33</v>
      </c>
    </row>
    <row r="18" spans="1:17" x14ac:dyDescent="0.25">
      <c r="A18" s="46" t="s">
        <v>72</v>
      </c>
      <c r="B18" s="184">
        <f>C9+F15</f>
        <v>3039.65</v>
      </c>
      <c r="C18" s="76"/>
      <c r="D18" s="52"/>
      <c r="E18" s="54">
        <v>0.12999901640594699</v>
      </c>
      <c r="F18" s="55">
        <f>E18*B18</f>
        <v>395.1515102183368</v>
      </c>
      <c r="G18" s="159">
        <f>D16+D17</f>
        <v>14.1343725</v>
      </c>
      <c r="H18" s="160">
        <f>F16+F17</f>
        <v>14.1343725</v>
      </c>
      <c r="I18" s="1" t="s">
        <v>34</v>
      </c>
      <c r="J18" s="184">
        <f>K9+N15</f>
        <v>3039.65</v>
      </c>
      <c r="K18" s="76"/>
      <c r="L18" s="52"/>
      <c r="M18" s="54">
        <v>0.12999901640594699</v>
      </c>
      <c r="N18" s="55">
        <f>M18*J18</f>
        <v>395.1515102183368</v>
      </c>
      <c r="O18" s="159">
        <f>L16+L17</f>
        <v>14.1343725</v>
      </c>
      <c r="P18" s="160">
        <f>N16+N17</f>
        <v>14.1343725</v>
      </c>
      <c r="Q18" s="1" t="s">
        <v>34</v>
      </c>
    </row>
    <row r="19" spans="1:17" x14ac:dyDescent="0.25">
      <c r="A19" s="79" t="s">
        <v>73</v>
      </c>
      <c r="B19" s="143">
        <f>B18</f>
        <v>3039.65</v>
      </c>
      <c r="C19" s="43"/>
      <c r="D19" s="43"/>
      <c r="E19" s="44">
        <v>7.7000000000000002E-3</v>
      </c>
      <c r="F19" s="45">
        <f>E19*B19</f>
        <v>23.405305000000002</v>
      </c>
      <c r="J19" s="143">
        <f>J18</f>
        <v>3039.65</v>
      </c>
      <c r="K19" s="43"/>
      <c r="L19" s="43"/>
      <c r="M19" s="44">
        <v>7.7000000000000002E-3</v>
      </c>
      <c r="N19" s="45">
        <f>M19*J19</f>
        <v>23.405305000000002</v>
      </c>
    </row>
    <row r="20" spans="1:17" x14ac:dyDescent="0.25">
      <c r="A20" s="86" t="s">
        <v>74</v>
      </c>
      <c r="B20" s="140"/>
      <c r="C20" s="88"/>
      <c r="D20" s="88"/>
      <c r="E20" s="89"/>
      <c r="F20" s="90"/>
      <c r="G20" s="672" t="s">
        <v>75</v>
      </c>
      <c r="H20" s="673"/>
      <c r="J20" s="140"/>
      <c r="K20" s="88"/>
      <c r="L20" s="88"/>
      <c r="M20" s="89"/>
      <c r="N20" s="90"/>
      <c r="O20" s="672" t="s">
        <v>75</v>
      </c>
      <c r="P20" s="673"/>
    </row>
    <row r="21" spans="1:17" x14ac:dyDescent="0.25">
      <c r="A21" s="91" t="s">
        <v>76</v>
      </c>
      <c r="B21" s="144">
        <f>B16</f>
        <v>3039.65</v>
      </c>
      <c r="C21" s="93">
        <v>6.9000000000000006E-2</v>
      </c>
      <c r="D21" s="92">
        <f t="shared" ref="D21:D28" si="2">C21*B21</f>
        <v>209.73585000000003</v>
      </c>
      <c r="E21" s="94">
        <v>8.5498833138856464E-2</v>
      </c>
      <c r="F21" s="95">
        <f t="shared" ref="F21:F22" si="3">E21*B21</f>
        <v>259.88652815052507</v>
      </c>
      <c r="G21" s="120" t="s">
        <v>38</v>
      </c>
      <c r="H21" s="64" t="s">
        <v>27</v>
      </c>
      <c r="J21" s="144">
        <f>J16</f>
        <v>3039.65</v>
      </c>
      <c r="K21" s="93">
        <v>6.9000000000000006E-2</v>
      </c>
      <c r="L21" s="92">
        <f t="shared" ref="L21:L28" si="4">K21*J21</f>
        <v>209.73585000000003</v>
      </c>
      <c r="M21" s="94">
        <v>8.5498833138856464E-2</v>
      </c>
      <c r="N21" s="95">
        <f t="shared" ref="N21:N22" si="5">M21*J21</f>
        <v>259.88652815052507</v>
      </c>
      <c r="O21" s="120" t="s">
        <v>38</v>
      </c>
      <c r="P21" s="64" t="s">
        <v>27</v>
      </c>
    </row>
    <row r="22" spans="1:17" x14ac:dyDescent="0.25">
      <c r="A22" s="47" t="s">
        <v>77</v>
      </c>
      <c r="B22" s="145">
        <f>B18</f>
        <v>3039.65</v>
      </c>
      <c r="C22" s="85">
        <v>4.0000000000000001E-3</v>
      </c>
      <c r="D22" s="84">
        <f t="shared" si="2"/>
        <v>12.1586</v>
      </c>
      <c r="E22" s="50">
        <v>1.899942389491201E-2</v>
      </c>
      <c r="F22" s="51">
        <f t="shared" si="3"/>
        <v>57.751598842169294</v>
      </c>
      <c r="G22" s="123">
        <f>D21+D22+D23+D24+D25+D31</f>
        <v>348.76944100000003</v>
      </c>
      <c r="H22" s="65"/>
      <c r="J22" s="145">
        <f>J18</f>
        <v>3039.65</v>
      </c>
      <c r="K22" s="85">
        <v>4.0000000000000001E-3</v>
      </c>
      <c r="L22" s="84">
        <f t="shared" si="4"/>
        <v>12.1586</v>
      </c>
      <c r="M22" s="50">
        <v>1.899942389491201E-2</v>
      </c>
      <c r="N22" s="51">
        <f t="shared" si="5"/>
        <v>57.751598842169294</v>
      </c>
      <c r="O22" s="123">
        <f>L21+L22+L23+L24+L25+L31</f>
        <v>348.76944100000003</v>
      </c>
      <c r="P22" s="65"/>
    </row>
    <row r="23" spans="1:17" x14ac:dyDescent="0.25">
      <c r="A23" s="47" t="s">
        <v>78</v>
      </c>
      <c r="B23" s="141">
        <f>B21</f>
        <v>3039.65</v>
      </c>
      <c r="C23" s="49">
        <v>4.0099999999999997E-2</v>
      </c>
      <c r="D23" s="48">
        <f t="shared" si="2"/>
        <v>121.88996499999999</v>
      </c>
      <c r="E23" s="50">
        <v>6.0099183197199535E-2</v>
      </c>
      <c r="F23" s="51">
        <f>E23*B23</f>
        <v>182.68048220536758</v>
      </c>
      <c r="G23" s="124">
        <f>G22/C11</f>
        <v>0.11625648033333334</v>
      </c>
      <c r="H23" s="67"/>
      <c r="J23" s="141">
        <f>J21</f>
        <v>3039.65</v>
      </c>
      <c r="K23" s="49">
        <v>4.0099999999999997E-2</v>
      </c>
      <c r="L23" s="48">
        <f t="shared" si="4"/>
        <v>121.88996499999999</v>
      </c>
      <c r="M23" s="50">
        <v>6.0099183197199535E-2</v>
      </c>
      <c r="N23" s="51">
        <f>M23*J23</f>
        <v>182.68048220536758</v>
      </c>
      <c r="O23" s="124">
        <f>O22/K9</f>
        <v>0.11480987589703075</v>
      </c>
      <c r="P23" s="67"/>
    </row>
    <row r="24" spans="1:17" x14ac:dyDescent="0.25">
      <c r="A24" s="47" t="s">
        <v>79</v>
      </c>
      <c r="B24" s="141">
        <f>B17</f>
        <v>0</v>
      </c>
      <c r="C24" s="49">
        <v>9.7199999999999995E-2</v>
      </c>
      <c r="D24" s="48">
        <f t="shared" si="2"/>
        <v>0</v>
      </c>
      <c r="E24" s="50">
        <v>0.145705</v>
      </c>
      <c r="F24" s="51">
        <f>E24*B24</f>
        <v>0</v>
      </c>
      <c r="J24" s="141">
        <f>J17</f>
        <v>0</v>
      </c>
      <c r="K24" s="49">
        <v>9.7199999999999995E-2</v>
      </c>
      <c r="L24" s="48">
        <f t="shared" si="4"/>
        <v>0</v>
      </c>
      <c r="M24" s="50">
        <v>0.145705</v>
      </c>
      <c r="N24" s="51">
        <f>M24*J24</f>
        <v>0</v>
      </c>
    </row>
    <row r="25" spans="1:17" x14ac:dyDescent="0.25">
      <c r="A25" s="81" t="s">
        <v>80</v>
      </c>
      <c r="B25" s="141">
        <f>B22</f>
        <v>3039.65</v>
      </c>
      <c r="C25" s="49">
        <v>1.4E-3</v>
      </c>
      <c r="D25" s="48">
        <f t="shared" si="2"/>
        <v>4.2555100000000001</v>
      </c>
      <c r="E25" s="50">
        <v>2.0996722022269378E-3</v>
      </c>
      <c r="F25" s="51">
        <f t="shared" ref="F25:F28" si="6">E25*B25</f>
        <v>6.3822686094991115</v>
      </c>
      <c r="J25" s="141">
        <f>J22</f>
        <v>3039.65</v>
      </c>
      <c r="K25" s="49">
        <v>1.4E-3</v>
      </c>
      <c r="L25" s="48">
        <f t="shared" si="4"/>
        <v>4.2555100000000001</v>
      </c>
      <c r="M25" s="50">
        <v>2.0996722022269378E-3</v>
      </c>
      <c r="N25" s="51">
        <f t="shared" ref="N25:N28" si="7">M25*J25</f>
        <v>6.3822686094991115</v>
      </c>
    </row>
    <row r="26" spans="1:17" x14ac:dyDescent="0.25">
      <c r="A26" s="56" t="s">
        <v>81</v>
      </c>
      <c r="B26" s="141">
        <f>B23</f>
        <v>3039.65</v>
      </c>
      <c r="C26" s="49">
        <v>8.9999999999999993E-3</v>
      </c>
      <c r="D26" s="59">
        <f t="shared" si="2"/>
        <v>27.356849999999998</v>
      </c>
      <c r="E26" s="50">
        <f>C26</f>
        <v>8.9999999999999993E-3</v>
      </c>
      <c r="F26" s="82">
        <f t="shared" si="6"/>
        <v>27.356849999999998</v>
      </c>
      <c r="G26" s="153">
        <f>D26+D27+D28</f>
        <v>27.356849999999998</v>
      </c>
      <c r="H26" s="154">
        <f>F26+F27+F28</f>
        <v>27.356849999999998</v>
      </c>
      <c r="I26" s="1" t="s">
        <v>35</v>
      </c>
      <c r="J26" s="141">
        <f>J23</f>
        <v>3039.65</v>
      </c>
      <c r="K26" s="49">
        <v>8.9999999999999993E-3</v>
      </c>
      <c r="L26" s="59">
        <f t="shared" si="4"/>
        <v>27.356849999999998</v>
      </c>
      <c r="M26" s="50">
        <f>K26</f>
        <v>8.9999999999999993E-3</v>
      </c>
      <c r="N26" s="82">
        <f t="shared" si="7"/>
        <v>27.356849999999998</v>
      </c>
      <c r="O26" s="153">
        <f>L26+L27+L28</f>
        <v>27.356849999999998</v>
      </c>
      <c r="P26" s="154">
        <f>N26+N27+N28</f>
        <v>27.356849999999998</v>
      </c>
      <c r="Q26" s="1" t="s">
        <v>35</v>
      </c>
    </row>
    <row r="27" spans="1:17" x14ac:dyDescent="0.25">
      <c r="A27" s="56" t="s">
        <v>82</v>
      </c>
      <c r="B27" s="141">
        <f>B17</f>
        <v>0</v>
      </c>
      <c r="C27" s="49">
        <v>3.2000000000000001E-2</v>
      </c>
      <c r="D27" s="59">
        <f t="shared" si="2"/>
        <v>0</v>
      </c>
      <c r="E27" s="50">
        <f>C27</f>
        <v>3.2000000000000001E-2</v>
      </c>
      <c r="F27" s="82">
        <f t="shared" si="6"/>
        <v>0</v>
      </c>
      <c r="G27" s="125"/>
      <c r="H27" s="119">
        <f>G26+H26</f>
        <v>54.713699999999996</v>
      </c>
      <c r="J27" s="141">
        <f>J17</f>
        <v>0</v>
      </c>
      <c r="K27" s="49">
        <v>3.2000000000000001E-2</v>
      </c>
      <c r="L27" s="59">
        <f t="shared" si="4"/>
        <v>0</v>
      </c>
      <c r="M27" s="50">
        <f>K27</f>
        <v>3.2000000000000001E-2</v>
      </c>
      <c r="N27" s="82">
        <f t="shared" si="7"/>
        <v>0</v>
      </c>
      <c r="O27" s="125"/>
      <c r="P27" s="119">
        <f>O26+P26</f>
        <v>54.713699999999996</v>
      </c>
    </row>
    <row r="28" spans="1:17" x14ac:dyDescent="0.25">
      <c r="A28" s="57" t="s">
        <v>83</v>
      </c>
      <c r="B28" s="146">
        <f>IF($G$1=B27, B18-B17-B16, 0 )</f>
        <v>0</v>
      </c>
      <c r="C28" s="53">
        <v>3.5000000000000003E-2</v>
      </c>
      <c r="D28" s="60">
        <f t="shared" si="2"/>
        <v>0</v>
      </c>
      <c r="E28" s="54">
        <f>C28</f>
        <v>3.5000000000000003E-2</v>
      </c>
      <c r="F28" s="83">
        <f t="shared" si="6"/>
        <v>0</v>
      </c>
      <c r="H28" s="34"/>
      <c r="J28" s="146">
        <f>IF($G$1=J27, J18-J17-J16, 0 )</f>
        <v>0</v>
      </c>
      <c r="K28" s="53">
        <v>3.5000000000000003E-2</v>
      </c>
      <c r="L28" s="60">
        <f t="shared" si="4"/>
        <v>0</v>
      </c>
      <c r="M28" s="54">
        <f>K28</f>
        <v>3.5000000000000003E-2</v>
      </c>
      <c r="N28" s="83">
        <f t="shared" si="7"/>
        <v>0</v>
      </c>
      <c r="P28" s="34"/>
    </row>
    <row r="29" spans="1:17" x14ac:dyDescent="0.25">
      <c r="A29" s="79" t="s">
        <v>84</v>
      </c>
      <c r="B29" s="143">
        <f>B18</f>
        <v>3039.65</v>
      </c>
      <c r="C29" s="43"/>
      <c r="D29" s="43"/>
      <c r="E29" s="44">
        <v>5.2499999999999998E-2</v>
      </c>
      <c r="F29" s="45">
        <f>E29*B29</f>
        <v>159.581625</v>
      </c>
      <c r="H29" s="34"/>
      <c r="J29" s="143">
        <f>J18</f>
        <v>3039.65</v>
      </c>
      <c r="K29" s="43"/>
      <c r="L29" s="43"/>
      <c r="M29" s="44">
        <v>5.2499999999999998E-2</v>
      </c>
      <c r="N29" s="45">
        <f>M29*J29</f>
        <v>159.581625</v>
      </c>
      <c r="P29" s="34"/>
    </row>
    <row r="30" spans="1:17" x14ac:dyDescent="0.25">
      <c r="A30" s="86" t="s">
        <v>85</v>
      </c>
      <c r="B30" s="140"/>
      <c r="C30" s="88"/>
      <c r="D30" s="88"/>
      <c r="E30" s="89"/>
      <c r="F30" s="90"/>
      <c r="H30" s="34"/>
      <c r="J30" s="140"/>
      <c r="K30" s="88"/>
      <c r="L30" s="88"/>
      <c r="M30" s="89"/>
      <c r="N30" s="90"/>
      <c r="P30" s="34"/>
    </row>
    <row r="31" spans="1:17" x14ac:dyDescent="0.25">
      <c r="A31" s="91" t="s">
        <v>86</v>
      </c>
      <c r="B31" s="144">
        <f>B18</f>
        <v>3039.65</v>
      </c>
      <c r="C31" s="93">
        <v>2.4000000000000001E-4</v>
      </c>
      <c r="D31" s="92">
        <f>C31*B31</f>
        <v>0.72951600000000005</v>
      </c>
      <c r="E31" s="94">
        <v>3.5931292944418913E-4</v>
      </c>
      <c r="F31" s="95">
        <f>E31*B31</f>
        <v>1.0921855459850296</v>
      </c>
      <c r="H31" s="34"/>
      <c r="J31" s="144">
        <f>J18</f>
        <v>3039.65</v>
      </c>
      <c r="K31" s="93">
        <v>2.4000000000000001E-4</v>
      </c>
      <c r="L31" s="92">
        <f>K31*J31</f>
        <v>0.72951600000000005</v>
      </c>
      <c r="M31" s="94">
        <v>3.5931292944418913E-4</v>
      </c>
      <c r="N31" s="95">
        <f>M31*J31</f>
        <v>1.0921855459850296</v>
      </c>
      <c r="P31" s="34"/>
    </row>
    <row r="32" spans="1:17" x14ac:dyDescent="0.25">
      <c r="A32" s="46" t="s">
        <v>88</v>
      </c>
      <c r="B32" s="146">
        <f>B18</f>
        <v>3039.65</v>
      </c>
      <c r="C32" s="53"/>
      <c r="D32" s="52">
        <f>C32*B32</f>
        <v>0</v>
      </c>
      <c r="E32" s="54">
        <v>4.1999466048942842E-2</v>
      </c>
      <c r="F32" s="55">
        <f t="shared" ref="F32" si="8">E32*B32</f>
        <v>127.66367697566912</v>
      </c>
      <c r="J32" s="146">
        <f>J18</f>
        <v>3039.65</v>
      </c>
      <c r="K32" s="53"/>
      <c r="L32" s="52">
        <f>K32*J32</f>
        <v>0</v>
      </c>
      <c r="M32" s="54">
        <v>4.1999466048942842E-2</v>
      </c>
      <c r="N32" s="55">
        <f t="shared" ref="N32" si="9">M32*J32</f>
        <v>127.66367697566912</v>
      </c>
    </row>
    <row r="33" spans="1:16" x14ac:dyDescent="0.25">
      <c r="A33" s="86" t="s">
        <v>89</v>
      </c>
      <c r="B33" s="140">
        <f>C9*$I$1+H15</f>
        <v>3096.0597225000006</v>
      </c>
      <c r="C33" s="88"/>
      <c r="D33" s="88"/>
      <c r="E33" s="89">
        <v>6.6242245000000005E-2</v>
      </c>
      <c r="F33" s="90">
        <f>E33*B34</f>
        <v>201.35324001425002</v>
      </c>
      <c r="G33" s="672" t="s">
        <v>90</v>
      </c>
      <c r="H33" s="673"/>
      <c r="J33" s="140">
        <f>K9*$I$1+P15</f>
        <v>3096.0597225000006</v>
      </c>
      <c r="K33" s="88"/>
      <c r="L33" s="88"/>
      <c r="M33" s="89">
        <v>6.6242245000000005E-2</v>
      </c>
      <c r="N33" s="90">
        <f>M33*J34</f>
        <v>201.35324001425002</v>
      </c>
      <c r="O33" s="672" t="s">
        <v>90</v>
      </c>
      <c r="P33" s="673"/>
    </row>
    <row r="34" spans="1:16" x14ac:dyDescent="0.25">
      <c r="A34" s="91" t="s">
        <v>91</v>
      </c>
      <c r="B34" s="145">
        <f>B18</f>
        <v>3039.65</v>
      </c>
      <c r="C34" s="85"/>
      <c r="D34" s="84"/>
      <c r="E34" s="50">
        <v>2.0999999999999999E-3</v>
      </c>
      <c r="F34" s="51">
        <f>E34*B34</f>
        <v>6.3832649999999997</v>
      </c>
      <c r="G34" s="126" t="s">
        <v>38</v>
      </c>
      <c r="H34" s="72" t="s">
        <v>27</v>
      </c>
      <c r="J34" s="145">
        <f>J18</f>
        <v>3039.65</v>
      </c>
      <c r="K34" s="85"/>
      <c r="L34" s="84"/>
      <c r="M34" s="50">
        <v>2.0999999999999999E-3</v>
      </c>
      <c r="N34" s="51">
        <f>M34*J34</f>
        <v>6.3832649999999997</v>
      </c>
      <c r="O34" s="126" t="s">
        <v>38</v>
      </c>
      <c r="P34" s="72" t="s">
        <v>27</v>
      </c>
    </row>
    <row r="35" spans="1:16" x14ac:dyDescent="0.25">
      <c r="A35" s="47" t="s">
        <v>92</v>
      </c>
      <c r="B35" s="141">
        <f>B33</f>
        <v>3096.0597225000006</v>
      </c>
      <c r="C35" s="49">
        <v>6.8000000000000005E-2</v>
      </c>
      <c r="D35" s="48">
        <f>B35*C35</f>
        <v>210.53206113000005</v>
      </c>
      <c r="E35" s="97"/>
      <c r="F35" s="96"/>
      <c r="G35" s="121">
        <f>D35+D36</f>
        <v>300.31779308250009</v>
      </c>
      <c r="H35" s="65"/>
      <c r="J35" s="141">
        <f>J33</f>
        <v>3096.0597225000006</v>
      </c>
      <c r="K35" s="49">
        <v>6.8000000000000005E-2</v>
      </c>
      <c r="L35" s="48">
        <f>J35*K35</f>
        <v>210.53206113000005</v>
      </c>
      <c r="M35" s="97"/>
      <c r="N35" s="96"/>
      <c r="O35" s="121">
        <f>L35+L36</f>
        <v>300.31779308250009</v>
      </c>
      <c r="P35" s="65"/>
    </row>
    <row r="36" spans="1:16" x14ac:dyDescent="0.25">
      <c r="A36" s="47" t="s">
        <v>93</v>
      </c>
      <c r="B36" s="141">
        <f>B35</f>
        <v>3096.0597225000006</v>
      </c>
      <c r="C36" s="49">
        <v>2.9000000000000001E-2</v>
      </c>
      <c r="D36" s="48">
        <f>B36*C36</f>
        <v>89.785731952500015</v>
      </c>
      <c r="E36" s="97"/>
      <c r="F36" s="96"/>
      <c r="G36" s="124">
        <f>G35/C11</f>
        <v>0.10010593102750003</v>
      </c>
      <c r="H36" s="70"/>
      <c r="J36" s="141">
        <f>J35</f>
        <v>3096.0597225000006</v>
      </c>
      <c r="K36" s="49">
        <v>2.9000000000000001E-2</v>
      </c>
      <c r="L36" s="48">
        <f>J36*K36</f>
        <v>89.785731952500015</v>
      </c>
      <c r="M36" s="97"/>
      <c r="N36" s="96"/>
      <c r="O36" s="124">
        <f>O35/K9</f>
        <v>9.8860291356409266E-2</v>
      </c>
      <c r="P36" s="70"/>
    </row>
    <row r="37" spans="1:16" x14ac:dyDescent="0.25">
      <c r="A37" s="152" t="s">
        <v>94</v>
      </c>
      <c r="B37" s="147">
        <v>0</v>
      </c>
      <c r="C37" s="111">
        <v>9.7000000000000003E-2</v>
      </c>
      <c r="D37" s="110">
        <f>C37*B37</f>
        <v>0</v>
      </c>
      <c r="E37" s="112"/>
      <c r="F37" s="101"/>
      <c r="J37" s="147">
        <v>0</v>
      </c>
      <c r="K37" s="111">
        <v>9.7000000000000003E-2</v>
      </c>
      <c r="L37" s="110">
        <f>K37*J37</f>
        <v>0</v>
      </c>
      <c r="M37" s="112"/>
      <c r="N37" s="101"/>
    </row>
    <row r="39" spans="1:16" s="204" customFormat="1" ht="23.25" customHeight="1" x14ac:dyDescent="0.35">
      <c r="A39" s="749" t="s">
        <v>219</v>
      </c>
      <c r="B39" s="749"/>
      <c r="C39" s="748">
        <f>'Simulateur Fusion CFDT'!B11</f>
        <v>45000</v>
      </c>
      <c r="D39" s="748"/>
      <c r="F39" s="210" t="s">
        <v>24</v>
      </c>
      <c r="G39" s="210"/>
    </row>
    <row r="41" spans="1:16" ht="18" x14ac:dyDescent="0.25">
      <c r="A41" s="74" t="s">
        <v>217</v>
      </c>
      <c r="B41" s="75"/>
      <c r="C41" s="666"/>
      <c r="D41" s="666"/>
      <c r="E41" s="666"/>
      <c r="F41" s="667"/>
    </row>
    <row r="42" spans="1:16" x14ac:dyDescent="0.25">
      <c r="A42" s="139"/>
      <c r="B42" s="670" t="s">
        <v>57</v>
      </c>
      <c r="C42" s="671"/>
      <c r="D42" s="671"/>
      <c r="E42" s="129">
        <v>1</v>
      </c>
      <c r="F42" s="130" t="s">
        <v>58</v>
      </c>
      <c r="G42" s="672" t="s">
        <v>59</v>
      </c>
      <c r="H42" s="673"/>
    </row>
    <row r="43" spans="1:16" x14ac:dyDescent="0.25">
      <c r="A43" s="139"/>
      <c r="B43" s="131" t="s">
        <v>60</v>
      </c>
      <c r="C43" s="132" t="s">
        <v>61</v>
      </c>
      <c r="D43" s="132" t="s">
        <v>62</v>
      </c>
      <c r="E43" s="674" t="s">
        <v>63</v>
      </c>
      <c r="F43" s="675"/>
      <c r="G43" s="120" t="s">
        <v>38</v>
      </c>
      <c r="H43" s="64" t="s">
        <v>27</v>
      </c>
    </row>
    <row r="44" spans="1:16" ht="15.75" x14ac:dyDescent="0.25">
      <c r="A44" s="139"/>
      <c r="B44" s="202" t="s">
        <v>218</v>
      </c>
      <c r="C44" s="134">
        <f>C45+C46</f>
        <v>3000</v>
      </c>
      <c r="D44" s="198">
        <f>C44-G44</f>
        <v>2258.2376390075001</v>
      </c>
      <c r="E44" s="136"/>
      <c r="F44" s="137">
        <f>SUM(F48:F72)</f>
        <v>1516.4117656852995</v>
      </c>
      <c r="G44" s="121">
        <f>G50+G57+G70</f>
        <v>741.76236099249991</v>
      </c>
      <c r="H44" s="65">
        <f>F44</f>
        <v>1516.4117656852995</v>
      </c>
    </row>
    <row r="45" spans="1:16" ht="15.75" x14ac:dyDescent="0.25">
      <c r="A45" s="150" t="s">
        <v>64</v>
      </c>
      <c r="B45" s="203">
        <f>'Simulateur Fusion CFDT'!P55</f>
        <v>0</v>
      </c>
      <c r="C45" s="197">
        <f>B45*C46</f>
        <v>0</v>
      </c>
      <c r="D45" s="138"/>
      <c r="E45" s="136"/>
      <c r="F45" s="137"/>
      <c r="G45" s="122">
        <f>G44/C46</f>
        <v>0.2472541203308333</v>
      </c>
      <c r="H45" s="67">
        <f>H44/C46</f>
        <v>0.50547058856176652</v>
      </c>
    </row>
    <row r="46" spans="1:16" ht="15.75" x14ac:dyDescent="0.25">
      <c r="A46" s="151"/>
      <c r="B46" s="133"/>
      <c r="C46" s="197">
        <f>'Simulateur Fusion CFDT'!D45</f>
        <v>3000</v>
      </c>
      <c r="D46" s="138"/>
      <c r="E46" s="136"/>
      <c r="F46" s="137"/>
    </row>
    <row r="47" spans="1:16" x14ac:dyDescent="0.25">
      <c r="A47" s="150"/>
      <c r="B47" s="139"/>
      <c r="C47" s="118"/>
      <c r="D47" s="118"/>
      <c r="E47" s="118"/>
      <c r="F47" s="69"/>
    </row>
    <row r="48" spans="1:16" x14ac:dyDescent="0.25">
      <c r="A48" s="86" t="s">
        <v>67</v>
      </c>
      <c r="B48" s="140"/>
      <c r="C48" s="88"/>
      <c r="D48" s="88"/>
      <c r="E48" s="89"/>
      <c r="F48" s="90"/>
      <c r="G48" s="672" t="s">
        <v>68</v>
      </c>
      <c r="H48" s="673"/>
    </row>
    <row r="49" spans="1:9" x14ac:dyDescent="0.25">
      <c r="A49" s="56" t="s">
        <v>33</v>
      </c>
      <c r="B49" s="141">
        <f>$E$1</f>
        <v>3428</v>
      </c>
      <c r="C49" s="49">
        <v>1.67E-2</v>
      </c>
      <c r="D49" s="58">
        <f>C49*B49</f>
        <v>57.247599999999998</v>
      </c>
      <c r="E49" s="50">
        <v>2.0399649941656946E-2</v>
      </c>
      <c r="F49" s="82">
        <f>E49*B49</f>
        <v>69.930000000000007</v>
      </c>
      <c r="G49" s="120" t="s">
        <v>38</v>
      </c>
      <c r="H49" s="64" t="s">
        <v>27</v>
      </c>
    </row>
    <row r="50" spans="1:9" x14ac:dyDescent="0.25">
      <c r="A50" s="207" t="s">
        <v>69</v>
      </c>
      <c r="B50" s="145">
        <f>$E$1</f>
        <v>3428</v>
      </c>
      <c r="C50" s="85">
        <v>6.6E-4</v>
      </c>
      <c r="D50" s="208">
        <f>C50*B50</f>
        <v>2.26248</v>
      </c>
      <c r="E50" s="50">
        <v>5.3967327887981329E-4</v>
      </c>
      <c r="F50" s="209">
        <f>E50*B50</f>
        <v>1.8499999999999999</v>
      </c>
      <c r="G50" s="123">
        <f>D49+D50+D51+D52+D61+D62+D63</f>
        <v>100.4853325</v>
      </c>
      <c r="H50" s="114">
        <f>F49+F50+F51+F52+F61+F62+F63</f>
        <v>112.7552525</v>
      </c>
    </row>
    <row r="51" spans="1:9" x14ac:dyDescent="0.25">
      <c r="A51" s="56" t="s">
        <v>70</v>
      </c>
      <c r="B51" s="141">
        <f>IF(B53&gt;$E$1,$E$1, B53)</f>
        <v>3001.85</v>
      </c>
      <c r="C51" s="49">
        <v>4.6499999999999996E-3</v>
      </c>
      <c r="D51" s="58">
        <f>C51*B51</f>
        <v>13.958602499999998</v>
      </c>
      <c r="E51" s="50">
        <f>C51</f>
        <v>4.6499999999999996E-3</v>
      </c>
      <c r="F51" s="82">
        <f>E51*B51</f>
        <v>13.958602499999998</v>
      </c>
      <c r="G51" s="148">
        <f>G50/C46</f>
        <v>3.3495110833333334E-2</v>
      </c>
      <c r="H51" s="117">
        <f>H50/C46</f>
        <v>3.7585084166666664E-2</v>
      </c>
    </row>
    <row r="52" spans="1:9" x14ac:dyDescent="0.25">
      <c r="A52" s="56" t="s">
        <v>71</v>
      </c>
      <c r="B52" s="141">
        <f>IF((B53-B51)&lt;0,0,IF((B53-B51)&lt;$G$1,B53-B51,$G$1))</f>
        <v>0</v>
      </c>
      <c r="C52" s="49">
        <v>6.0000000000000001E-3</v>
      </c>
      <c r="D52" s="58">
        <f>C52*B52</f>
        <v>0</v>
      </c>
      <c r="E52" s="50">
        <v>6.0000000000000001E-3</v>
      </c>
      <c r="F52" s="82">
        <f t="shared" ref="F52" si="10">E52*B52</f>
        <v>0</v>
      </c>
      <c r="G52" s="158">
        <f>D49+D50</f>
        <v>59.510080000000002</v>
      </c>
      <c r="H52" s="154">
        <f>F49+F50</f>
        <v>71.78</v>
      </c>
      <c r="I52" s="1" t="s">
        <v>33</v>
      </c>
    </row>
    <row r="53" spans="1:9" x14ac:dyDescent="0.25">
      <c r="A53" s="46" t="s">
        <v>72</v>
      </c>
      <c r="B53" s="184">
        <f>C44+F50</f>
        <v>3001.85</v>
      </c>
      <c r="C53" s="76"/>
      <c r="D53" s="52"/>
      <c r="E53" s="54">
        <v>0.12999901640594699</v>
      </c>
      <c r="F53" s="55">
        <f>E53*B53</f>
        <v>390.23754739819196</v>
      </c>
      <c r="G53" s="159">
        <f>D51+D52</f>
        <v>13.958602499999998</v>
      </c>
      <c r="H53" s="160">
        <f>F51+F52</f>
        <v>13.958602499999998</v>
      </c>
      <c r="I53" s="1" t="s">
        <v>34</v>
      </c>
    </row>
    <row r="54" spans="1:9" x14ac:dyDescent="0.25">
      <c r="A54" s="79" t="s">
        <v>73</v>
      </c>
      <c r="B54" s="143">
        <f>B53</f>
        <v>3001.85</v>
      </c>
      <c r="C54" s="43"/>
      <c r="D54" s="43"/>
      <c r="E54" s="44">
        <v>7.7000000000000002E-3</v>
      </c>
      <c r="F54" s="45">
        <f>E54*B54</f>
        <v>23.114245</v>
      </c>
    </row>
    <row r="55" spans="1:9" x14ac:dyDescent="0.25">
      <c r="A55" s="86" t="s">
        <v>74</v>
      </c>
      <c r="B55" s="140"/>
      <c r="C55" s="88"/>
      <c r="D55" s="88"/>
      <c r="E55" s="89"/>
      <c r="F55" s="90"/>
      <c r="G55" s="672" t="s">
        <v>75</v>
      </c>
      <c r="H55" s="673"/>
    </row>
    <row r="56" spans="1:9" x14ac:dyDescent="0.25">
      <c r="A56" s="91" t="s">
        <v>76</v>
      </c>
      <c r="B56" s="144">
        <f>B51</f>
        <v>3001.85</v>
      </c>
      <c r="C56" s="93">
        <v>6.9000000000000006E-2</v>
      </c>
      <c r="D56" s="92">
        <f t="shared" ref="D56:D63" si="11">C56*B56</f>
        <v>207.12765000000002</v>
      </c>
      <c r="E56" s="94">
        <v>8.5498833138856464E-2</v>
      </c>
      <c r="F56" s="95">
        <f t="shared" ref="F56:F57" si="12">E56*B56</f>
        <v>256.65467225787626</v>
      </c>
      <c r="G56" s="120" t="s">
        <v>38</v>
      </c>
      <c r="H56" s="64" t="s">
        <v>27</v>
      </c>
    </row>
    <row r="57" spans="1:9" x14ac:dyDescent="0.25">
      <c r="A57" s="47" t="s">
        <v>77</v>
      </c>
      <c r="B57" s="145">
        <f>B53</f>
        <v>3001.85</v>
      </c>
      <c r="C57" s="85">
        <v>4.0000000000000001E-3</v>
      </c>
      <c r="D57" s="84">
        <f t="shared" si="11"/>
        <v>12.007400000000001</v>
      </c>
      <c r="E57" s="50">
        <v>1.899942389491201E-2</v>
      </c>
      <c r="F57" s="51">
        <f t="shared" si="12"/>
        <v>57.033420618941619</v>
      </c>
      <c r="G57" s="123">
        <f>D56+D57+D58+D59+D60+D66</f>
        <v>344.43226899999996</v>
      </c>
      <c r="H57" s="65"/>
    </row>
    <row r="58" spans="1:9" x14ac:dyDescent="0.25">
      <c r="A58" s="47" t="s">
        <v>78</v>
      </c>
      <c r="B58" s="141">
        <f>B56</f>
        <v>3001.85</v>
      </c>
      <c r="C58" s="49">
        <v>4.0099999999999997E-2</v>
      </c>
      <c r="D58" s="48">
        <f t="shared" si="11"/>
        <v>120.37418499999998</v>
      </c>
      <c r="E58" s="50">
        <v>6.0099183197199535E-2</v>
      </c>
      <c r="F58" s="51">
        <f>E58*B58</f>
        <v>180.40873308051343</v>
      </c>
      <c r="G58" s="124">
        <f>G57/C46</f>
        <v>0.11481075633333332</v>
      </c>
      <c r="H58" s="67"/>
    </row>
    <row r="59" spans="1:9" x14ac:dyDescent="0.25">
      <c r="A59" s="47" t="s">
        <v>79</v>
      </c>
      <c r="B59" s="141">
        <f>B52</f>
        <v>0</v>
      </c>
      <c r="C59" s="49">
        <v>9.7199999999999995E-2</v>
      </c>
      <c r="D59" s="48">
        <f t="shared" si="11"/>
        <v>0</v>
      </c>
      <c r="E59" s="50">
        <v>0.145705</v>
      </c>
      <c r="F59" s="51">
        <f>E59*B59</f>
        <v>0</v>
      </c>
    </row>
    <row r="60" spans="1:9" x14ac:dyDescent="0.25">
      <c r="A60" s="81" t="s">
        <v>80</v>
      </c>
      <c r="B60" s="141">
        <f>B57</f>
        <v>3001.85</v>
      </c>
      <c r="C60" s="49">
        <v>1.4E-3</v>
      </c>
      <c r="D60" s="48">
        <f t="shared" si="11"/>
        <v>4.2025899999999998</v>
      </c>
      <c r="E60" s="50">
        <v>2.0996722022269378E-3</v>
      </c>
      <c r="F60" s="51">
        <f t="shared" ref="F60:F63" si="13">E60*B60</f>
        <v>6.3029010002549333</v>
      </c>
    </row>
    <row r="61" spans="1:9" x14ac:dyDescent="0.25">
      <c r="A61" s="56" t="s">
        <v>81</v>
      </c>
      <c r="B61" s="141">
        <f>B58</f>
        <v>3001.85</v>
      </c>
      <c r="C61" s="49">
        <v>8.9999999999999993E-3</v>
      </c>
      <c r="D61" s="59">
        <f t="shared" si="11"/>
        <v>27.016649999999998</v>
      </c>
      <c r="E61" s="50">
        <f>C61</f>
        <v>8.9999999999999993E-3</v>
      </c>
      <c r="F61" s="82">
        <f t="shared" si="13"/>
        <v>27.016649999999998</v>
      </c>
      <c r="G61" s="153">
        <f>D61+D62+D63</f>
        <v>27.016649999999998</v>
      </c>
      <c r="H61" s="154">
        <f>F61+F62+F63</f>
        <v>27.016649999999998</v>
      </c>
      <c r="I61" s="1" t="s">
        <v>35</v>
      </c>
    </row>
    <row r="62" spans="1:9" x14ac:dyDescent="0.25">
      <c r="A62" s="56" t="s">
        <v>82</v>
      </c>
      <c r="B62" s="141">
        <f>B52</f>
        <v>0</v>
      </c>
      <c r="C62" s="49">
        <v>3.2000000000000001E-2</v>
      </c>
      <c r="D62" s="59">
        <f t="shared" si="11"/>
        <v>0</v>
      </c>
      <c r="E62" s="50">
        <f>C62</f>
        <v>3.2000000000000001E-2</v>
      </c>
      <c r="F62" s="82">
        <f t="shared" si="13"/>
        <v>0</v>
      </c>
      <c r="G62" s="125"/>
      <c r="H62" s="119">
        <f>G61+H61</f>
        <v>54.033299999999997</v>
      </c>
    </row>
    <row r="63" spans="1:9" x14ac:dyDescent="0.25">
      <c r="A63" s="57" t="s">
        <v>83</v>
      </c>
      <c r="B63" s="146">
        <f>IF($G$1=B62, B53-B52-B51, 0 )</f>
        <v>0</v>
      </c>
      <c r="C63" s="53">
        <v>3.5000000000000003E-2</v>
      </c>
      <c r="D63" s="60">
        <f t="shared" si="11"/>
        <v>0</v>
      </c>
      <c r="E63" s="54">
        <f>C63</f>
        <v>3.5000000000000003E-2</v>
      </c>
      <c r="F63" s="83">
        <f t="shared" si="13"/>
        <v>0</v>
      </c>
      <c r="H63" s="34"/>
    </row>
    <row r="64" spans="1:9" x14ac:dyDescent="0.25">
      <c r="A64" s="79" t="s">
        <v>84</v>
      </c>
      <c r="B64" s="143">
        <f>B53</f>
        <v>3001.85</v>
      </c>
      <c r="C64" s="43"/>
      <c r="D64" s="43"/>
      <c r="E64" s="44">
        <v>5.2499999999999998E-2</v>
      </c>
      <c r="F64" s="45">
        <f>E64*B64</f>
        <v>157.59712499999998</v>
      </c>
      <c r="H64" s="34"/>
    </row>
    <row r="65" spans="1:16" x14ac:dyDescent="0.25">
      <c r="A65" s="86" t="s">
        <v>85</v>
      </c>
      <c r="B65" s="140"/>
      <c r="C65" s="88"/>
      <c r="D65" s="88"/>
      <c r="E65" s="89"/>
      <c r="F65" s="90"/>
      <c r="H65" s="34"/>
    </row>
    <row r="66" spans="1:16" x14ac:dyDescent="0.25">
      <c r="A66" s="91" t="s">
        <v>86</v>
      </c>
      <c r="B66" s="144">
        <f>B53</f>
        <v>3001.85</v>
      </c>
      <c r="C66" s="93">
        <v>2.4000000000000001E-4</v>
      </c>
      <c r="D66" s="92">
        <f>C66*B66</f>
        <v>0.72044399999999997</v>
      </c>
      <c r="E66" s="94">
        <v>3.5931292944418913E-4</v>
      </c>
      <c r="F66" s="95">
        <f>E66*B66</f>
        <v>1.0786035172520392</v>
      </c>
      <c r="H66" s="34"/>
    </row>
    <row r="67" spans="1:16" x14ac:dyDescent="0.25">
      <c r="A67" s="46" t="s">
        <v>88</v>
      </c>
      <c r="B67" s="146">
        <f>B53</f>
        <v>3001.85</v>
      </c>
      <c r="C67" s="53"/>
      <c r="D67" s="52">
        <f>C67*B67</f>
        <v>0</v>
      </c>
      <c r="E67" s="54">
        <v>4.1999466048942842E-2</v>
      </c>
      <c r="F67" s="55">
        <f t="shared" ref="F67" si="14">E67*B67</f>
        <v>126.07609715901907</v>
      </c>
    </row>
    <row r="68" spans="1:16" x14ac:dyDescent="0.25">
      <c r="A68" s="86" t="s">
        <v>89</v>
      </c>
      <c r="B68" s="140">
        <f>C46*$I$1+H50</f>
        <v>3060.2552525000001</v>
      </c>
      <c r="C68" s="88"/>
      <c r="D68" s="88"/>
      <c r="E68" s="89">
        <v>6.6242245000000005E-2</v>
      </c>
      <c r="F68" s="90">
        <f>E68*B69</f>
        <v>198.84928315325001</v>
      </c>
      <c r="G68" s="672" t="s">
        <v>90</v>
      </c>
      <c r="H68" s="673"/>
    </row>
    <row r="69" spans="1:16" x14ac:dyDescent="0.25">
      <c r="A69" s="91" t="s">
        <v>91</v>
      </c>
      <c r="B69" s="145">
        <f>B53</f>
        <v>3001.85</v>
      </c>
      <c r="C69" s="85"/>
      <c r="D69" s="84"/>
      <c r="E69" s="50">
        <v>2.0999999999999999E-3</v>
      </c>
      <c r="F69" s="51">
        <f>E69*B69</f>
        <v>6.3038849999999993</v>
      </c>
      <c r="G69" s="126" t="s">
        <v>38</v>
      </c>
      <c r="H69" s="72" t="s">
        <v>27</v>
      </c>
    </row>
    <row r="70" spans="1:16" x14ac:dyDescent="0.25">
      <c r="A70" s="47" t="s">
        <v>92</v>
      </c>
      <c r="B70" s="141">
        <f>B68</f>
        <v>3060.2552525000001</v>
      </c>
      <c r="C70" s="49">
        <v>6.8000000000000005E-2</v>
      </c>
      <c r="D70" s="48">
        <f>B70*C70</f>
        <v>208.09735717000001</v>
      </c>
      <c r="E70" s="97"/>
      <c r="F70" s="96"/>
      <c r="G70" s="121">
        <f>D70+D71</f>
        <v>296.84475949250003</v>
      </c>
      <c r="H70" s="65"/>
    </row>
    <row r="71" spans="1:16" x14ac:dyDescent="0.25">
      <c r="A71" s="47" t="s">
        <v>93</v>
      </c>
      <c r="B71" s="141">
        <f>B70</f>
        <v>3060.2552525000001</v>
      </c>
      <c r="C71" s="49">
        <v>2.9000000000000001E-2</v>
      </c>
      <c r="D71" s="48">
        <f>B71*C71</f>
        <v>88.747402322500008</v>
      </c>
      <c r="E71" s="97"/>
      <c r="F71" s="96"/>
      <c r="G71" s="124">
        <f>G70/C46</f>
        <v>9.894825316416668E-2</v>
      </c>
      <c r="H71" s="70"/>
    </row>
    <row r="72" spans="1:16" x14ac:dyDescent="0.25">
      <c r="A72" s="152" t="s">
        <v>94</v>
      </c>
      <c r="B72" s="147">
        <v>0</v>
      </c>
      <c r="C72" s="111">
        <v>9.7000000000000003E-2</v>
      </c>
      <c r="D72" s="110">
        <f>C72*B72</f>
        <v>0</v>
      </c>
      <c r="E72" s="112"/>
      <c r="F72" s="101"/>
    </row>
    <row r="75" spans="1:16" ht="18" x14ac:dyDescent="0.25">
      <c r="A75" s="74" t="s">
        <v>220</v>
      </c>
      <c r="B75" s="75" t="s">
        <v>221</v>
      </c>
      <c r="C75" s="75"/>
      <c r="D75" s="75"/>
      <c r="E75" s="75"/>
      <c r="F75" s="262"/>
      <c r="J75" s="74" t="s">
        <v>220</v>
      </c>
      <c r="K75" s="75" t="s">
        <v>222</v>
      </c>
      <c r="L75" s="191"/>
      <c r="M75" s="191"/>
      <c r="N75" s="191"/>
    </row>
    <row r="76" spans="1:16" x14ac:dyDescent="0.25">
      <c r="A76" s="139"/>
      <c r="B76" s="670" t="s">
        <v>57</v>
      </c>
      <c r="C76" s="671"/>
      <c r="D76" s="671"/>
      <c r="E76" s="129">
        <v>1</v>
      </c>
      <c r="F76" s="130" t="s">
        <v>58</v>
      </c>
      <c r="G76" s="672" t="s">
        <v>59</v>
      </c>
      <c r="H76" s="673"/>
      <c r="J76" s="668" t="s">
        <v>57</v>
      </c>
      <c r="K76" s="669"/>
      <c r="L76" s="669"/>
      <c r="M76" s="214">
        <v>1</v>
      </c>
      <c r="N76" s="128" t="s">
        <v>58</v>
      </c>
      <c r="O76" s="679" t="s">
        <v>59</v>
      </c>
      <c r="P76" s="673"/>
    </row>
    <row r="77" spans="1:16" x14ac:dyDescent="0.25">
      <c r="A77" s="139"/>
      <c r="B77" s="131" t="s">
        <v>60</v>
      </c>
      <c r="C77" s="132" t="s">
        <v>61</v>
      </c>
      <c r="D77" s="132" t="s">
        <v>62</v>
      </c>
      <c r="E77" s="674" t="s">
        <v>63</v>
      </c>
      <c r="F77" s="675"/>
      <c r="G77" s="120" t="s">
        <v>38</v>
      </c>
      <c r="H77" s="64" t="s">
        <v>27</v>
      </c>
      <c r="J77" s="131" t="s">
        <v>60</v>
      </c>
      <c r="K77" s="132" t="s">
        <v>61</v>
      </c>
      <c r="L77" s="132" t="s">
        <v>62</v>
      </c>
      <c r="M77" s="194" t="s">
        <v>63</v>
      </c>
      <c r="N77" s="130"/>
      <c r="O77" s="120" t="s">
        <v>38</v>
      </c>
      <c r="P77" s="64" t="s">
        <v>27</v>
      </c>
    </row>
    <row r="78" spans="1:16" ht="18.75" x14ac:dyDescent="0.3">
      <c r="A78" s="139"/>
      <c r="B78" s="202" t="s">
        <v>220</v>
      </c>
      <c r="C78" s="134">
        <f>C79</f>
        <v>1094.4000000000001</v>
      </c>
      <c r="D78" s="198">
        <f>C78-G78</f>
        <v>837.68391038250002</v>
      </c>
      <c r="E78" s="136"/>
      <c r="F78" s="137">
        <f>SUM(F82:F106)</f>
        <v>543.94473735943143</v>
      </c>
      <c r="G78" s="121">
        <f>G84+G91+G104</f>
        <v>256.71608961750007</v>
      </c>
      <c r="H78" s="65">
        <f>F78</f>
        <v>543.94473735943143</v>
      </c>
      <c r="J78" s="202" t="s">
        <v>220</v>
      </c>
      <c r="K78" s="134">
        <f>K79</f>
        <v>824.4</v>
      </c>
      <c r="L78" s="135">
        <f>K78-O78</f>
        <v>640.344681315</v>
      </c>
      <c r="M78" s="136"/>
      <c r="N78" s="137">
        <f>SUM(N82:N106)</f>
        <v>432.59334800943373</v>
      </c>
      <c r="O78" s="211">
        <f>O84+O91+O104</f>
        <v>184.055318685</v>
      </c>
      <c r="P78" s="65">
        <f>N78</f>
        <v>432.59334800943373</v>
      </c>
    </row>
    <row r="79" spans="1:16" ht="15.75" x14ac:dyDescent="0.25">
      <c r="A79" s="150" t="s">
        <v>64</v>
      </c>
      <c r="B79" s="203">
        <f>IF('Simulateur Fusion CFDT'!E7&lt;'Simulateur Fusion CFDT'!B11,'Simulateur Fusion CFDT'!O68, 'Simulateur Fusion CFDT'!P68)</f>
        <v>3.04E-2</v>
      </c>
      <c r="C79" s="197">
        <f>B79*C80</f>
        <v>1094.4000000000001</v>
      </c>
      <c r="D79" s="138"/>
      <c r="E79" s="136"/>
      <c r="F79" s="137"/>
      <c r="G79" s="122">
        <f>G78/C80</f>
        <v>7.1310024893750023E-3</v>
      </c>
      <c r="H79" s="67">
        <f>H78/C80</f>
        <v>1.5109576037761984E-2</v>
      </c>
      <c r="J79" s="203">
        <f>IF('Simulateur Fusion CFDT'!E7&lt;'Simulateur Fusion CFDT'!B11,'Simulateur Fusion CFDT'!O67, 'Simulateur Fusion CFDT'!P67)</f>
        <v>2.29E-2</v>
      </c>
      <c r="K79" s="197">
        <f>K80*J79</f>
        <v>824.4</v>
      </c>
      <c r="L79" s="138"/>
      <c r="M79" s="136"/>
      <c r="N79" s="137"/>
      <c r="O79" s="212">
        <f>O78/K78</f>
        <v>0.22325972669213975</v>
      </c>
      <c r="P79" s="67">
        <f>P78/K78</f>
        <v>0.52473720039960425</v>
      </c>
    </row>
    <row r="80" spans="1:16" ht="15.75" x14ac:dyDescent="0.25">
      <c r="A80" s="151"/>
      <c r="B80" s="133"/>
      <c r="C80" s="197">
        <f>C46*12</f>
        <v>36000</v>
      </c>
      <c r="D80" s="138"/>
      <c r="E80" s="136"/>
      <c r="F80" s="137"/>
      <c r="J80" s="245" t="s">
        <v>223</v>
      </c>
      <c r="K80" s="84">
        <f>C46*12</f>
        <v>36000</v>
      </c>
      <c r="L80" s="138"/>
      <c r="M80" s="136"/>
      <c r="N80" s="137"/>
    </row>
    <row r="81" spans="1:17" x14ac:dyDescent="0.25">
      <c r="A81" s="150"/>
      <c r="B81" s="139"/>
      <c r="C81" s="118"/>
      <c r="D81" s="118"/>
      <c r="E81" s="118"/>
      <c r="F81" s="69"/>
      <c r="J81" s="139"/>
      <c r="K81" s="118"/>
      <c r="L81" s="118"/>
      <c r="M81" s="118"/>
      <c r="N81" s="69"/>
    </row>
    <row r="82" spans="1:17" x14ac:dyDescent="0.25">
      <c r="A82" s="86" t="s">
        <v>67</v>
      </c>
      <c r="B82" s="140"/>
      <c r="C82" s="88"/>
      <c r="D82" s="88"/>
      <c r="E82" s="89"/>
      <c r="F82" s="90"/>
      <c r="G82" s="672" t="s">
        <v>68</v>
      </c>
      <c r="H82" s="673"/>
      <c r="J82" s="140"/>
      <c r="K82" s="88"/>
      <c r="L82" s="88"/>
      <c r="M82" s="89"/>
      <c r="N82" s="90"/>
      <c r="O82" s="679" t="s">
        <v>68</v>
      </c>
      <c r="P82" s="673"/>
    </row>
    <row r="83" spans="1:17" x14ac:dyDescent="0.25">
      <c r="A83" s="56" t="s">
        <v>33</v>
      </c>
      <c r="B83" s="215">
        <f>E73</f>
        <v>0</v>
      </c>
      <c r="C83" s="190">
        <v>1.01E-2</v>
      </c>
      <c r="D83" s="188">
        <f>C83*B83</f>
        <v>0</v>
      </c>
      <c r="E83" s="190">
        <v>4.5920000000000002E-2</v>
      </c>
      <c r="F83" s="189">
        <f>E83*B83</f>
        <v>0</v>
      </c>
      <c r="G83" s="120" t="s">
        <v>38</v>
      </c>
      <c r="H83" s="64" t="s">
        <v>27</v>
      </c>
      <c r="J83" s="215">
        <f>M39</f>
        <v>0</v>
      </c>
      <c r="K83" s="190">
        <v>1.01E-2</v>
      </c>
      <c r="L83" s="188">
        <f>K83*J83</f>
        <v>0</v>
      </c>
      <c r="M83" s="190">
        <v>4.5920000000000002E-2</v>
      </c>
      <c r="N83" s="189">
        <f>M83*J83</f>
        <v>0</v>
      </c>
      <c r="O83" s="120" t="s">
        <v>38</v>
      </c>
      <c r="P83" s="64" t="s">
        <v>27</v>
      </c>
    </row>
    <row r="84" spans="1:17" x14ac:dyDescent="0.25">
      <c r="A84" s="207" t="s">
        <v>69</v>
      </c>
      <c r="B84" s="215">
        <f>E73</f>
        <v>0</v>
      </c>
      <c r="C84" s="190">
        <v>0</v>
      </c>
      <c r="D84" s="188">
        <f>C84*B84</f>
        <v>0</v>
      </c>
      <c r="E84" s="190">
        <v>0</v>
      </c>
      <c r="F84" s="189">
        <f>E84*B84</f>
        <v>0</v>
      </c>
      <c r="G84" s="123">
        <f>D83+D84+D85+D86+D95+D96+D97</f>
        <v>32.130877500000004</v>
      </c>
      <c r="H84" s="114">
        <f>F83+F84+F85+F86+F95+F96+F97</f>
        <v>32.130877500000004</v>
      </c>
      <c r="J84" s="215">
        <f>M39</f>
        <v>0</v>
      </c>
      <c r="K84" s="190">
        <v>0</v>
      </c>
      <c r="L84" s="188">
        <f>K84*J84</f>
        <v>0</v>
      </c>
      <c r="M84" s="190">
        <v>0</v>
      </c>
      <c r="N84" s="189">
        <f>M84*J84</f>
        <v>0</v>
      </c>
      <c r="O84" s="211">
        <f>L83+L84+L85+L86+L95+L96+L97</f>
        <v>11.520495</v>
      </c>
      <c r="P84" s="65">
        <f>N83+N84+N85+N86+N95+N96+N97</f>
        <v>47.059605000000005</v>
      </c>
    </row>
    <row r="85" spans="1:17" x14ac:dyDescent="0.25">
      <c r="A85" s="56" t="s">
        <v>70</v>
      </c>
      <c r="B85" s="141">
        <f>IF(B16&gt;$E$1,0, $E$1-B16)</f>
        <v>388.34999999999991</v>
      </c>
      <c r="C85" s="49">
        <v>4.6499999999999996E-3</v>
      </c>
      <c r="D85" s="58">
        <f>C85*B85</f>
        <v>1.8058274999999995</v>
      </c>
      <c r="E85" s="50">
        <f>C85</f>
        <v>4.6499999999999996E-3</v>
      </c>
      <c r="F85" s="82">
        <f>E85*B85</f>
        <v>1.8058274999999995</v>
      </c>
      <c r="G85" s="148">
        <f>G84/C80</f>
        <v>8.9252437500000014E-4</v>
      </c>
      <c r="H85" s="117">
        <f>H84/C80</f>
        <v>8.9252437500000014E-4</v>
      </c>
      <c r="J85" s="141">
        <f>IF(J16&gt;$E$1,0, $E$1-J16)</f>
        <v>388.34999999999991</v>
      </c>
      <c r="K85" s="49">
        <v>1.6999999999999999E-3</v>
      </c>
      <c r="L85" s="58">
        <f>K85*J85</f>
        <v>0.66019499999999975</v>
      </c>
      <c r="M85" s="50">
        <v>8.3000000000000001E-3</v>
      </c>
      <c r="N85" s="82">
        <f>M85*J85</f>
        <v>3.2233049999999994</v>
      </c>
      <c r="O85" s="148">
        <f>O84/K78</f>
        <v>1.3974399563318779E-2</v>
      </c>
      <c r="P85" s="117">
        <f>P84/K78</f>
        <v>5.7083460698689963E-2</v>
      </c>
    </row>
    <row r="86" spans="1:17" x14ac:dyDescent="0.25">
      <c r="A86" s="56" t="s">
        <v>71</v>
      </c>
      <c r="B86" s="141">
        <f>IF(B50+B87&lt;$G$1,IF((B50+B87)&lt;$G$1,B87-B85,$G$1),$G$1-B50)</f>
        <v>706.05000000000018</v>
      </c>
      <c r="C86" s="49">
        <v>6.0000000000000001E-3</v>
      </c>
      <c r="D86" s="58">
        <f>C86*B86</f>
        <v>4.2363000000000008</v>
      </c>
      <c r="E86" s="50">
        <v>6.0000000000000001E-3</v>
      </c>
      <c r="F86" s="82">
        <f t="shared" ref="F86" si="15">E86*B86</f>
        <v>4.2363000000000008</v>
      </c>
      <c r="G86" s="158">
        <f>D83+D84</f>
        <v>0</v>
      </c>
      <c r="H86" s="154">
        <f>F83+F84</f>
        <v>0</v>
      </c>
      <c r="I86" s="1" t="s">
        <v>33</v>
      </c>
      <c r="J86" s="141">
        <f>IF(J16+J87&lt;$G$1,IF((J16+J87)&lt;$G$1,J87-J85,$G$1),$G$1-J16)</f>
        <v>436.05000000000007</v>
      </c>
      <c r="K86" s="49">
        <v>6.0000000000000001E-3</v>
      </c>
      <c r="L86" s="58">
        <f>K86*J86</f>
        <v>2.6163000000000003</v>
      </c>
      <c r="M86" s="50">
        <v>6.0000000000000001E-3</v>
      </c>
      <c r="N86" s="82">
        <f t="shared" ref="N86" si="16">M86*J86</f>
        <v>2.6163000000000003</v>
      </c>
      <c r="O86" s="153">
        <f>L83+L84</f>
        <v>0</v>
      </c>
      <c r="P86" s="154">
        <f>N83+N84</f>
        <v>0</v>
      </c>
      <c r="Q86" s="1" t="s">
        <v>33</v>
      </c>
    </row>
    <row r="87" spans="1:17" x14ac:dyDescent="0.25">
      <c r="A87" s="46" t="s">
        <v>72</v>
      </c>
      <c r="B87" s="184">
        <f>C78</f>
        <v>1094.4000000000001</v>
      </c>
      <c r="C87" s="76"/>
      <c r="D87" s="52"/>
      <c r="E87" s="54">
        <v>0.12999901640594699</v>
      </c>
      <c r="F87" s="55">
        <f>E87*B87</f>
        <v>142.2709235546684</v>
      </c>
      <c r="G87" s="159">
        <f>D85+D86</f>
        <v>6.0421275000000003</v>
      </c>
      <c r="H87" s="160">
        <f>F85+F86</f>
        <v>6.0421275000000003</v>
      </c>
      <c r="I87" s="1" t="s">
        <v>34</v>
      </c>
      <c r="J87" s="184">
        <f>K78</f>
        <v>824.4</v>
      </c>
      <c r="K87" s="76"/>
      <c r="L87" s="52"/>
      <c r="M87" s="54">
        <v>0.12999901640594699</v>
      </c>
      <c r="N87" s="55">
        <f>M87*J87</f>
        <v>107.1711891250627</v>
      </c>
      <c r="O87" s="213">
        <f>L85+L86</f>
        <v>3.2764950000000002</v>
      </c>
      <c r="P87" s="160">
        <f>N85+N86</f>
        <v>5.8396049999999997</v>
      </c>
      <c r="Q87" s="1" t="s">
        <v>34</v>
      </c>
    </row>
    <row r="88" spans="1:17" x14ac:dyDescent="0.25">
      <c r="A88" s="79" t="s">
        <v>73</v>
      </c>
      <c r="B88" s="143">
        <f>B87</f>
        <v>1094.4000000000001</v>
      </c>
      <c r="C88" s="43"/>
      <c r="D88" s="43"/>
      <c r="E88" s="44">
        <v>7.7000000000000002E-3</v>
      </c>
      <c r="F88" s="45">
        <f>E88*B88</f>
        <v>8.4268800000000006</v>
      </c>
      <c r="J88" s="143">
        <f>J87</f>
        <v>824.4</v>
      </c>
      <c r="K88" s="43"/>
      <c r="L88" s="43"/>
      <c r="M88" s="44">
        <v>7.7000000000000002E-3</v>
      </c>
      <c r="N88" s="45">
        <f>M88*J88</f>
        <v>6.34788</v>
      </c>
    </row>
    <row r="89" spans="1:17" x14ac:dyDescent="0.25">
      <c r="A89" s="86" t="s">
        <v>74</v>
      </c>
      <c r="B89" s="140"/>
      <c r="C89" s="88"/>
      <c r="D89" s="88"/>
      <c r="E89" s="89"/>
      <c r="F89" s="90"/>
      <c r="G89" s="672" t="s">
        <v>75</v>
      </c>
      <c r="H89" s="673"/>
      <c r="I89" s="34"/>
      <c r="J89" s="140"/>
      <c r="K89" s="88"/>
      <c r="L89" s="88"/>
      <c r="M89" s="89"/>
      <c r="N89" s="90"/>
      <c r="O89" s="679" t="s">
        <v>75</v>
      </c>
      <c r="P89" s="673"/>
    </row>
    <row r="90" spans="1:17" x14ac:dyDescent="0.25">
      <c r="A90" s="91" t="s">
        <v>76</v>
      </c>
      <c r="B90" s="144">
        <f>B85</f>
        <v>388.34999999999991</v>
      </c>
      <c r="C90" s="93">
        <v>6.9000000000000006E-2</v>
      </c>
      <c r="D90" s="92">
        <f t="shared" ref="D90:D97" si="17">C90*B90</f>
        <v>26.796149999999997</v>
      </c>
      <c r="E90" s="94">
        <v>8.5498833138856464E-2</v>
      </c>
      <c r="F90" s="95">
        <f t="shared" ref="F90:F91" si="18">E90*B90</f>
        <v>33.203471849474901</v>
      </c>
      <c r="G90" s="120" t="s">
        <v>38</v>
      </c>
      <c r="H90" s="64" t="s">
        <v>27</v>
      </c>
      <c r="J90" s="144">
        <f>J85</f>
        <v>388.34999999999991</v>
      </c>
      <c r="K90" s="93">
        <v>6.9000000000000006E-2</v>
      </c>
      <c r="L90" s="92">
        <f t="shared" ref="L90:L97" si="19">K90*J90</f>
        <v>26.796149999999997</v>
      </c>
      <c r="M90" s="94">
        <v>8.5498833138856464E-2</v>
      </c>
      <c r="N90" s="95">
        <f t="shared" ref="N90:N91" si="20">M90*J90</f>
        <v>33.203471849474901</v>
      </c>
      <c r="O90" s="120" t="s">
        <v>38</v>
      </c>
      <c r="P90" s="64" t="s">
        <v>27</v>
      </c>
    </row>
    <row r="91" spans="1:17" x14ac:dyDescent="0.25">
      <c r="A91" s="47" t="s">
        <v>77</v>
      </c>
      <c r="B91" s="145">
        <f>B87</f>
        <v>1094.4000000000001</v>
      </c>
      <c r="C91" s="85">
        <v>4.0000000000000001E-3</v>
      </c>
      <c r="D91" s="84">
        <f t="shared" si="17"/>
        <v>4.3776000000000002</v>
      </c>
      <c r="E91" s="50">
        <v>1.899942389491201E-2</v>
      </c>
      <c r="F91" s="51">
        <f t="shared" si="18"/>
        <v>20.792969510591707</v>
      </c>
      <c r="G91" s="123">
        <f>D90+D91+D92+D93+D94+D100</f>
        <v>117.16946100000003</v>
      </c>
      <c r="H91" s="65"/>
      <c r="J91" s="145">
        <f>J87</f>
        <v>824.4</v>
      </c>
      <c r="K91" s="85">
        <v>4.0000000000000001E-3</v>
      </c>
      <c r="L91" s="84">
        <f t="shared" si="19"/>
        <v>3.2976000000000001</v>
      </c>
      <c r="M91" s="50">
        <v>1.899942389491201E-2</v>
      </c>
      <c r="N91" s="51">
        <f t="shared" si="20"/>
        <v>15.663125058965461</v>
      </c>
      <c r="O91" s="211">
        <f>L90+L91+L92+L93+L94+L100</f>
        <v>89.402661000000009</v>
      </c>
      <c r="P91" s="65"/>
    </row>
    <row r="92" spans="1:17" x14ac:dyDescent="0.25">
      <c r="A92" s="47" t="s">
        <v>78</v>
      </c>
      <c r="B92" s="141">
        <f>B90</f>
        <v>388.34999999999991</v>
      </c>
      <c r="C92" s="49">
        <v>4.0099999999999997E-2</v>
      </c>
      <c r="D92" s="48">
        <f t="shared" si="17"/>
        <v>15.572834999999994</v>
      </c>
      <c r="E92" s="50">
        <v>6.0099183197199535E-2</v>
      </c>
      <c r="F92" s="51">
        <f>E92*B92</f>
        <v>23.339517794632435</v>
      </c>
      <c r="G92" s="124">
        <f>G91/C80</f>
        <v>3.2547072500000006E-3</v>
      </c>
      <c r="H92" s="67"/>
      <c r="J92" s="141">
        <f>J90</f>
        <v>388.34999999999991</v>
      </c>
      <c r="K92" s="49">
        <v>4.0099999999999997E-2</v>
      </c>
      <c r="L92" s="48">
        <f t="shared" si="19"/>
        <v>15.572834999999994</v>
      </c>
      <c r="M92" s="50">
        <v>6.0099183197199535E-2</v>
      </c>
      <c r="N92" s="51">
        <f>M92*J92</f>
        <v>23.339517794632435</v>
      </c>
      <c r="O92" s="124">
        <f>O91/K78</f>
        <v>0.10844573144104805</v>
      </c>
      <c r="P92" s="67"/>
    </row>
    <row r="93" spans="1:17" x14ac:dyDescent="0.25">
      <c r="A93" s="47" t="s">
        <v>79</v>
      </c>
      <c r="B93" s="141">
        <f>B86</f>
        <v>706.05000000000018</v>
      </c>
      <c r="C93" s="49">
        <v>9.7199999999999995E-2</v>
      </c>
      <c r="D93" s="48">
        <f t="shared" si="17"/>
        <v>68.628060000000019</v>
      </c>
      <c r="E93" s="50">
        <v>0.145705</v>
      </c>
      <c r="F93" s="51">
        <f>E93*B93</f>
        <v>102.87501525000003</v>
      </c>
      <c r="J93" s="141">
        <f>J86</f>
        <v>436.05000000000007</v>
      </c>
      <c r="K93" s="49">
        <v>9.7199999999999995E-2</v>
      </c>
      <c r="L93" s="48">
        <f t="shared" si="19"/>
        <v>42.384060000000005</v>
      </c>
      <c r="M93" s="50">
        <v>0.145705</v>
      </c>
      <c r="N93" s="51">
        <f>M93*J93</f>
        <v>63.53466525000001</v>
      </c>
    </row>
    <row r="94" spans="1:17" x14ac:dyDescent="0.25">
      <c r="A94" s="81" t="s">
        <v>80</v>
      </c>
      <c r="B94" s="141">
        <f>B91</f>
        <v>1094.4000000000001</v>
      </c>
      <c r="C94" s="49">
        <v>1.4E-3</v>
      </c>
      <c r="D94" s="48">
        <f t="shared" si="17"/>
        <v>1.5321600000000002</v>
      </c>
      <c r="E94" s="50">
        <v>2.0996722022269378E-3</v>
      </c>
      <c r="F94" s="51">
        <f t="shared" ref="F94:F97" si="21">E94*B94</f>
        <v>2.2978812581171608</v>
      </c>
      <c r="J94" s="141">
        <f>J91</f>
        <v>824.4</v>
      </c>
      <c r="K94" s="49">
        <v>1.4E-3</v>
      </c>
      <c r="L94" s="48">
        <f t="shared" si="19"/>
        <v>1.1541599999999999</v>
      </c>
      <c r="M94" s="50">
        <v>2.0996722022269378E-3</v>
      </c>
      <c r="N94" s="51">
        <f t="shared" ref="N94:N97" si="22">M94*J94</f>
        <v>1.7309697635158874</v>
      </c>
    </row>
    <row r="95" spans="1:17" x14ac:dyDescent="0.25">
      <c r="A95" s="56" t="s">
        <v>81</v>
      </c>
      <c r="B95" s="141">
        <f>B92</f>
        <v>388.34999999999991</v>
      </c>
      <c r="C95" s="49">
        <v>8.9999999999999993E-3</v>
      </c>
      <c r="D95" s="59">
        <f t="shared" si="17"/>
        <v>3.4951499999999989</v>
      </c>
      <c r="E95" s="50">
        <f>C95</f>
        <v>8.9999999999999993E-3</v>
      </c>
      <c r="F95" s="82">
        <f t="shared" si="21"/>
        <v>3.4951499999999989</v>
      </c>
      <c r="G95" s="153">
        <f>D95+D96+D97</f>
        <v>26.088750000000005</v>
      </c>
      <c r="H95" s="154">
        <f>F95+F96+F97</f>
        <v>26.088750000000005</v>
      </c>
      <c r="I95" s="1" t="s">
        <v>35</v>
      </c>
      <c r="J95" s="141">
        <f>J92</f>
        <v>388.34999999999991</v>
      </c>
      <c r="K95" s="49">
        <v>0.01</v>
      </c>
      <c r="L95" s="59">
        <f t="shared" si="19"/>
        <v>3.8834999999999993</v>
      </c>
      <c r="M95" s="50">
        <v>0.05</v>
      </c>
      <c r="N95" s="82">
        <f t="shared" si="22"/>
        <v>19.417499999999997</v>
      </c>
      <c r="O95" s="257">
        <f>L95+L96+L97</f>
        <v>8.2439999999999998</v>
      </c>
      <c r="P95" s="258">
        <f>N95+N96+N97</f>
        <v>41.22</v>
      </c>
      <c r="Q95" s="1" t="s">
        <v>35</v>
      </c>
    </row>
    <row r="96" spans="1:17" x14ac:dyDescent="0.25">
      <c r="A96" s="56" t="s">
        <v>82</v>
      </c>
      <c r="B96" s="141">
        <f>B86</f>
        <v>706.05000000000018</v>
      </c>
      <c r="C96" s="49">
        <v>3.2000000000000001E-2</v>
      </c>
      <c r="D96" s="59">
        <f t="shared" si="17"/>
        <v>22.593600000000006</v>
      </c>
      <c r="E96" s="50">
        <f>C96</f>
        <v>3.2000000000000001E-2</v>
      </c>
      <c r="F96" s="82">
        <f t="shared" si="21"/>
        <v>22.593600000000006</v>
      </c>
      <c r="G96" s="125"/>
      <c r="H96" s="119">
        <f>G95+H95</f>
        <v>52.177500000000009</v>
      </c>
      <c r="J96" s="141">
        <f>J86</f>
        <v>436.05000000000007</v>
      </c>
      <c r="K96" s="49">
        <v>0.01</v>
      </c>
      <c r="L96" s="59">
        <f t="shared" si="19"/>
        <v>4.3605000000000009</v>
      </c>
      <c r="M96" s="50">
        <v>0.05</v>
      </c>
      <c r="N96" s="82">
        <f t="shared" si="22"/>
        <v>21.802500000000006</v>
      </c>
    </row>
    <row r="97" spans="1:18" x14ac:dyDescent="0.25">
      <c r="A97" s="57" t="s">
        <v>83</v>
      </c>
      <c r="B97" s="146">
        <f>IF(B51&gt;0,  IF((B51+B87-B85-B86)&gt;=$G$1,B87-B85-B86,0), 0 )</f>
        <v>0</v>
      </c>
      <c r="C97" s="53">
        <v>3.5000000000000003E-2</v>
      </c>
      <c r="D97" s="60">
        <f t="shared" si="17"/>
        <v>0</v>
      </c>
      <c r="E97" s="54">
        <f>C97</f>
        <v>3.5000000000000003E-2</v>
      </c>
      <c r="F97" s="83">
        <f t="shared" si="21"/>
        <v>0</v>
      </c>
      <c r="H97" s="34"/>
      <c r="J97" s="146">
        <f>IF(J17&gt;0,  IF((J17+J87-J85-J86)&gt;=$G$1,J87-J85-J86,0), 0 )</f>
        <v>0</v>
      </c>
      <c r="K97" s="53">
        <v>0.01</v>
      </c>
      <c r="L97" s="60">
        <f t="shared" si="19"/>
        <v>0</v>
      </c>
      <c r="M97" s="54">
        <v>0.05</v>
      </c>
      <c r="N97" s="83">
        <f t="shared" si="22"/>
        <v>0</v>
      </c>
      <c r="P97" s="34"/>
    </row>
    <row r="98" spans="1:18" x14ac:dyDescent="0.25">
      <c r="A98" s="79" t="s">
        <v>84</v>
      </c>
      <c r="B98" s="143">
        <f>B87</f>
        <v>1094.4000000000001</v>
      </c>
      <c r="C98" s="43"/>
      <c r="D98" s="43"/>
      <c r="E98" s="44">
        <v>5.2499999999999998E-2</v>
      </c>
      <c r="F98" s="45">
        <f>E98*B98</f>
        <v>57.456000000000003</v>
      </c>
      <c r="H98" s="34"/>
      <c r="J98" s="143">
        <f>J87</f>
        <v>824.4</v>
      </c>
      <c r="K98" s="43"/>
      <c r="L98" s="43"/>
      <c r="M98" s="44">
        <v>5.2499999999999998E-2</v>
      </c>
      <c r="N98" s="45">
        <f>M98*J98</f>
        <v>43.280999999999999</v>
      </c>
    </row>
    <row r="99" spans="1:18" x14ac:dyDescent="0.25">
      <c r="A99" s="86" t="s">
        <v>85</v>
      </c>
      <c r="B99" s="140"/>
      <c r="C99" s="88"/>
      <c r="D99" s="88"/>
      <c r="E99" s="89"/>
      <c r="F99" s="90"/>
      <c r="H99" s="34"/>
      <c r="J99" s="140"/>
      <c r="K99" s="88"/>
      <c r="L99" s="88"/>
      <c r="M99" s="89"/>
      <c r="N99" s="90"/>
    </row>
    <row r="100" spans="1:18" x14ac:dyDescent="0.25">
      <c r="A100" s="91" t="s">
        <v>86</v>
      </c>
      <c r="B100" s="144">
        <f>B87</f>
        <v>1094.4000000000001</v>
      </c>
      <c r="C100" s="93">
        <v>2.4000000000000001E-4</v>
      </c>
      <c r="D100" s="92">
        <f>C100*B100</f>
        <v>0.26265600000000006</v>
      </c>
      <c r="E100" s="94">
        <v>3.5931292944418913E-4</v>
      </c>
      <c r="F100" s="95">
        <f>E100*B100</f>
        <v>0.39323206998372062</v>
      </c>
      <c r="H100" s="34"/>
      <c r="J100" s="144">
        <f>J87</f>
        <v>824.4</v>
      </c>
      <c r="K100" s="93">
        <v>2.4000000000000001E-4</v>
      </c>
      <c r="L100" s="92">
        <f>K100*J100</f>
        <v>0.197856</v>
      </c>
      <c r="M100" s="94">
        <v>3.5931292944418913E-4</v>
      </c>
      <c r="N100" s="95">
        <f>M100*J100</f>
        <v>0.29621757903378948</v>
      </c>
    </row>
    <row r="101" spans="1:18" x14ac:dyDescent="0.25">
      <c r="A101" s="46" t="s">
        <v>88</v>
      </c>
      <c r="B101" s="146">
        <f>B87</f>
        <v>1094.4000000000001</v>
      </c>
      <c r="C101" s="53"/>
      <c r="D101" s="52">
        <f>C101*B101</f>
        <v>0</v>
      </c>
      <c r="E101" s="54">
        <v>4.1999466048942842E-2</v>
      </c>
      <c r="F101" s="55">
        <f t="shared" ref="F101" si="23">E101*B101</f>
        <v>45.964215643963051</v>
      </c>
      <c r="J101" s="146">
        <f>J87</f>
        <v>824.4</v>
      </c>
      <c r="K101" s="53"/>
      <c r="L101" s="52">
        <f>K101*J101</f>
        <v>0</v>
      </c>
      <c r="M101" s="54">
        <v>4.1999466048942842E-2</v>
      </c>
      <c r="N101" s="55">
        <f t="shared" ref="N101" si="24">M101*J101</f>
        <v>34.62435981074848</v>
      </c>
    </row>
    <row r="102" spans="1:18" x14ac:dyDescent="0.25">
      <c r="A102" s="86" t="s">
        <v>89</v>
      </c>
      <c r="B102" s="140">
        <f>C78*$I$1+H84</f>
        <v>1107.3788775</v>
      </c>
      <c r="C102" s="88"/>
      <c r="D102" s="88"/>
      <c r="E102" s="89">
        <v>6.6242245000000005E-2</v>
      </c>
      <c r="F102" s="90">
        <f>E102*B103</f>
        <v>72.495512928000011</v>
      </c>
      <c r="G102" s="672" t="s">
        <v>90</v>
      </c>
      <c r="H102" s="673"/>
      <c r="J102" s="140">
        <f>K78*$I$1+P84</f>
        <v>857.03260499999999</v>
      </c>
      <c r="K102" s="88"/>
      <c r="L102" s="88"/>
      <c r="M102" s="89">
        <v>6.6242245000000005E-2</v>
      </c>
      <c r="N102" s="90">
        <f>M102*J103</f>
        <v>54.610106778000002</v>
      </c>
      <c r="O102" s="192" t="s">
        <v>90</v>
      </c>
      <c r="P102" s="193"/>
    </row>
    <row r="103" spans="1:18" x14ac:dyDescent="0.25">
      <c r="A103" s="91" t="s">
        <v>91</v>
      </c>
      <c r="B103" s="145">
        <f>B87</f>
        <v>1094.4000000000001</v>
      </c>
      <c r="C103" s="85"/>
      <c r="D103" s="84"/>
      <c r="E103" s="50">
        <v>2.0999999999999999E-3</v>
      </c>
      <c r="F103" s="51">
        <f>E103*B103</f>
        <v>2.2982399999999998</v>
      </c>
      <c r="G103" s="126" t="s">
        <v>38</v>
      </c>
      <c r="H103" s="72" t="s">
        <v>27</v>
      </c>
      <c r="J103" s="145">
        <f>J87</f>
        <v>824.4</v>
      </c>
      <c r="K103" s="85"/>
      <c r="L103" s="84"/>
      <c r="M103" s="50">
        <v>2.0999999999999999E-3</v>
      </c>
      <c r="N103" s="51">
        <f>M103*J103</f>
        <v>1.7312399999999999</v>
      </c>
      <c r="O103" s="126" t="s">
        <v>38</v>
      </c>
      <c r="P103" s="72" t="s">
        <v>27</v>
      </c>
    </row>
    <row r="104" spans="1:18" x14ac:dyDescent="0.25">
      <c r="A104" s="47" t="s">
        <v>92</v>
      </c>
      <c r="B104" s="141">
        <f>B102</f>
        <v>1107.3788775</v>
      </c>
      <c r="C104" s="49">
        <v>6.8000000000000005E-2</v>
      </c>
      <c r="D104" s="48">
        <f>B104*C104</f>
        <v>75.301763670000014</v>
      </c>
      <c r="E104" s="97"/>
      <c r="F104" s="96"/>
      <c r="G104" s="121">
        <f>D104+D105</f>
        <v>107.41575111750001</v>
      </c>
      <c r="H104" s="65"/>
      <c r="J104" s="141">
        <f>J102</f>
        <v>857.03260499999999</v>
      </c>
      <c r="K104" s="49">
        <v>6.8000000000000005E-2</v>
      </c>
      <c r="L104" s="48">
        <f>J104*K104</f>
        <v>58.278217140000002</v>
      </c>
      <c r="M104" s="97"/>
      <c r="N104" s="96"/>
      <c r="O104" s="121">
        <f>L104+L105</f>
        <v>83.132162684999997</v>
      </c>
      <c r="P104" s="65"/>
    </row>
    <row r="105" spans="1:18" x14ac:dyDescent="0.25">
      <c r="A105" s="47" t="s">
        <v>93</v>
      </c>
      <c r="B105" s="141">
        <f>B104</f>
        <v>1107.3788775</v>
      </c>
      <c r="C105" s="49">
        <v>2.9000000000000001E-2</v>
      </c>
      <c r="D105" s="48">
        <f>B105*C105</f>
        <v>32.113987447500001</v>
      </c>
      <c r="E105" s="97"/>
      <c r="F105" s="96"/>
      <c r="G105" s="124">
        <f>G104/C80</f>
        <v>2.9837708643750001E-3</v>
      </c>
      <c r="H105" s="70"/>
      <c r="J105" s="141">
        <f>J104</f>
        <v>857.03260499999999</v>
      </c>
      <c r="K105" s="49">
        <v>2.9000000000000001E-2</v>
      </c>
      <c r="L105" s="48">
        <f>J105*K105</f>
        <v>24.853945545000002</v>
      </c>
      <c r="M105" s="97"/>
      <c r="N105" s="96"/>
      <c r="O105" s="124">
        <f>O104/K78</f>
        <v>0.10083959568777293</v>
      </c>
      <c r="P105" s="70"/>
    </row>
    <row r="106" spans="1:18" x14ac:dyDescent="0.25">
      <c r="A106" s="152" t="s">
        <v>94</v>
      </c>
      <c r="B106" s="147">
        <v>0</v>
      </c>
      <c r="C106" s="111">
        <v>9.7000000000000003E-2</v>
      </c>
      <c r="D106" s="110">
        <f>C106*B106</f>
        <v>0</v>
      </c>
      <c r="E106" s="112"/>
      <c r="F106" s="101"/>
      <c r="J106" s="147">
        <v>0</v>
      </c>
      <c r="K106" s="111">
        <v>9.7000000000000003E-2</v>
      </c>
      <c r="L106" s="110">
        <f>K106*J106</f>
        <v>0</v>
      </c>
      <c r="M106" s="112"/>
      <c r="N106" s="101"/>
    </row>
    <row r="109" spans="1:18" ht="18" x14ac:dyDescent="0.25">
      <c r="A109" s="74" t="s">
        <v>220</v>
      </c>
      <c r="B109" s="75" t="s">
        <v>224</v>
      </c>
      <c r="C109" s="75"/>
      <c r="D109" s="75"/>
      <c r="E109" s="75"/>
      <c r="F109" s="262"/>
      <c r="J109" s="74" t="s">
        <v>220</v>
      </c>
      <c r="K109" s="75" t="s">
        <v>125</v>
      </c>
      <c r="L109" s="191"/>
      <c r="M109" s="191"/>
      <c r="N109" s="191"/>
    </row>
    <row r="110" spans="1:18" x14ac:dyDescent="0.25">
      <c r="A110" s="139"/>
      <c r="B110" s="670" t="s">
        <v>57</v>
      </c>
      <c r="C110" s="671"/>
      <c r="D110" s="671"/>
      <c r="E110" s="129">
        <v>1</v>
      </c>
      <c r="F110" s="130" t="s">
        <v>58</v>
      </c>
      <c r="G110" s="672" t="s">
        <v>59</v>
      </c>
      <c r="H110" s="673"/>
      <c r="J110" s="668" t="s">
        <v>57</v>
      </c>
      <c r="K110" s="669"/>
      <c r="L110" s="669"/>
      <c r="M110" s="214">
        <v>1</v>
      </c>
      <c r="N110" s="128" t="s">
        <v>58</v>
      </c>
      <c r="O110" s="679" t="s">
        <v>59</v>
      </c>
      <c r="P110" s="673"/>
    </row>
    <row r="111" spans="1:18" x14ac:dyDescent="0.25">
      <c r="A111" s="139"/>
      <c r="B111" s="131" t="s">
        <v>60</v>
      </c>
      <c r="C111" s="132" t="s">
        <v>61</v>
      </c>
      <c r="D111" s="132" t="s">
        <v>62</v>
      </c>
      <c r="E111" s="674" t="s">
        <v>63</v>
      </c>
      <c r="F111" s="675"/>
      <c r="G111" s="120" t="s">
        <v>38</v>
      </c>
      <c r="H111" s="64" t="s">
        <v>27</v>
      </c>
      <c r="J111" s="131" t="s">
        <v>60</v>
      </c>
      <c r="K111" s="132" t="s">
        <v>61</v>
      </c>
      <c r="L111" s="132" t="s">
        <v>62</v>
      </c>
      <c r="M111" s="194" t="s">
        <v>63</v>
      </c>
      <c r="N111" s="130"/>
      <c r="O111" s="120" t="s">
        <v>38</v>
      </c>
      <c r="P111" s="64" t="s">
        <v>27</v>
      </c>
    </row>
    <row r="112" spans="1:18" ht="18.75" x14ac:dyDescent="0.3">
      <c r="A112" s="139"/>
      <c r="B112" s="202" t="s">
        <v>220</v>
      </c>
      <c r="C112" s="134">
        <f>C113</f>
        <v>453.6</v>
      </c>
      <c r="D112" s="198">
        <f>C112-G112</f>
        <v>350.5660131825</v>
      </c>
      <c r="E112" s="136"/>
      <c r="F112" s="137">
        <f>SUM(F116:F140)</f>
        <v>219.8895267021035</v>
      </c>
      <c r="G112" s="121">
        <f>G118+G125+G138</f>
        <v>103.03398681750001</v>
      </c>
      <c r="H112" s="65">
        <f>F112</f>
        <v>219.8895267021035</v>
      </c>
      <c r="J112" s="202" t="s">
        <v>220</v>
      </c>
      <c r="K112" s="134">
        <f>K113</f>
        <v>0</v>
      </c>
      <c r="L112" s="135">
        <f>K112-O112</f>
        <v>0</v>
      </c>
      <c r="M112" s="136"/>
      <c r="N112" s="137">
        <f>SUM(N116:N140)</f>
        <v>0</v>
      </c>
      <c r="O112" s="211">
        <f>O118+O125+O138</f>
        <v>0</v>
      </c>
      <c r="P112" s="65">
        <f>N112</f>
        <v>0</v>
      </c>
      <c r="R112" s="35"/>
    </row>
    <row r="113" spans="1:17" ht="15.75" x14ac:dyDescent="0.25">
      <c r="A113" s="150" t="s">
        <v>64</v>
      </c>
      <c r="B113" s="203">
        <f>'Simulateur Fusion CFDT'!O66</f>
        <v>1.26E-2</v>
      </c>
      <c r="C113" s="197">
        <f>B113*C114</f>
        <v>453.6</v>
      </c>
      <c r="D113" s="138"/>
      <c r="E113" s="136"/>
      <c r="F113" s="137"/>
      <c r="G113" s="122">
        <f>G112/C114</f>
        <v>2.8620551893750001E-3</v>
      </c>
      <c r="H113" s="67">
        <f>H112/C114</f>
        <v>6.1080424083917641E-3</v>
      </c>
      <c r="J113" s="203">
        <f>IF('Simulateur Fusion CFDT'!E7&lt;'Simulateur Fusion CFDT'!B11, 0, 'Simulateur Fusion CFDT'!P69)</f>
        <v>0</v>
      </c>
      <c r="K113" s="84">
        <f>J113*K114</f>
        <v>0</v>
      </c>
      <c r="L113" s="138"/>
      <c r="M113" s="136"/>
      <c r="N113" s="137"/>
      <c r="O113" s="212" t="e">
        <f>O112/K112</f>
        <v>#DIV/0!</v>
      </c>
      <c r="P113" s="67" t="e">
        <f>P112/K112</f>
        <v>#DIV/0!</v>
      </c>
    </row>
    <row r="114" spans="1:17" ht="15.75" x14ac:dyDescent="0.25">
      <c r="A114" s="151"/>
      <c r="B114" s="133"/>
      <c r="C114" s="197">
        <f>C46*12</f>
        <v>36000</v>
      </c>
      <c r="D114" s="138"/>
      <c r="E114" s="136"/>
      <c r="F114" s="137"/>
      <c r="J114" s="245" t="s">
        <v>223</v>
      </c>
      <c r="K114" s="84">
        <f>C46*12</f>
        <v>36000</v>
      </c>
      <c r="L114" s="138"/>
      <c r="M114" s="136"/>
      <c r="N114" s="137"/>
    </row>
    <row r="115" spans="1:17" x14ac:dyDescent="0.25">
      <c r="A115" s="150"/>
      <c r="B115" s="139"/>
      <c r="C115" s="118"/>
      <c r="D115" s="118"/>
      <c r="E115" s="118"/>
      <c r="F115" s="69"/>
      <c r="J115" s="139"/>
      <c r="K115" s="118"/>
      <c r="L115" s="118"/>
      <c r="M115" s="118"/>
      <c r="N115" s="69"/>
    </row>
    <row r="116" spans="1:17" x14ac:dyDescent="0.25">
      <c r="A116" s="86" t="s">
        <v>67</v>
      </c>
      <c r="B116" s="140"/>
      <c r="C116" s="88"/>
      <c r="D116" s="88"/>
      <c r="E116" s="89"/>
      <c r="F116" s="90"/>
      <c r="G116" s="672" t="s">
        <v>68</v>
      </c>
      <c r="H116" s="673"/>
      <c r="J116" s="140"/>
      <c r="K116" s="88"/>
      <c r="L116" s="88"/>
      <c r="M116" s="89"/>
      <c r="N116" s="90"/>
      <c r="O116" s="679" t="s">
        <v>68</v>
      </c>
      <c r="P116" s="673"/>
    </row>
    <row r="117" spans="1:17" x14ac:dyDescent="0.25">
      <c r="A117" s="186" t="s">
        <v>33</v>
      </c>
      <c r="B117" s="215">
        <f>E73</f>
        <v>0</v>
      </c>
      <c r="C117" s="190">
        <v>1.01E-2</v>
      </c>
      <c r="D117" s="188">
        <f>C117*B117</f>
        <v>0</v>
      </c>
      <c r="E117" s="190">
        <v>4.5920000000000002E-2</v>
      </c>
      <c r="F117" s="189">
        <f>E117*B117</f>
        <v>0</v>
      </c>
      <c r="G117" s="120" t="s">
        <v>38</v>
      </c>
      <c r="H117" s="64" t="s">
        <v>27</v>
      </c>
      <c r="J117" s="215">
        <f>M73</f>
        <v>0</v>
      </c>
      <c r="K117" s="190">
        <v>1.01E-2</v>
      </c>
      <c r="L117" s="188">
        <f>K117*J117</f>
        <v>0</v>
      </c>
      <c r="M117" s="190">
        <v>4.5920000000000002E-2</v>
      </c>
      <c r="N117" s="189">
        <f>M117*J117</f>
        <v>0</v>
      </c>
      <c r="O117" s="120" t="s">
        <v>38</v>
      </c>
      <c r="P117" s="64" t="s">
        <v>27</v>
      </c>
    </row>
    <row r="118" spans="1:17" x14ac:dyDescent="0.25">
      <c r="A118" s="279" t="s">
        <v>69</v>
      </c>
      <c r="B118" s="215">
        <f>E73</f>
        <v>0</v>
      </c>
      <c r="C118" s="190">
        <v>0</v>
      </c>
      <c r="D118" s="188">
        <f>C118*B118</f>
        <v>0</v>
      </c>
      <c r="E118" s="190">
        <v>0</v>
      </c>
      <c r="F118" s="189">
        <f>E118*B118</f>
        <v>0</v>
      </c>
      <c r="G118" s="123">
        <f>D117+D118+D119+D120+D129+D130+D131</f>
        <v>7.7804775000000026</v>
      </c>
      <c r="H118" s="114">
        <f>F117+F118+F119+F120+F129+F130+F131</f>
        <v>7.7804775000000026</v>
      </c>
      <c r="J118" s="215">
        <f>M73</f>
        <v>0</v>
      </c>
      <c r="K118" s="190">
        <v>0</v>
      </c>
      <c r="L118" s="188">
        <f>K118*J118</f>
        <v>0</v>
      </c>
      <c r="M118" s="190">
        <v>0</v>
      </c>
      <c r="N118" s="189">
        <f>M118*J118</f>
        <v>0</v>
      </c>
      <c r="O118" s="211">
        <f>L117+L118+L119+L120+L129+L130+L131</f>
        <v>0</v>
      </c>
      <c r="P118" s="65">
        <f>N117+N118+N119+N120+N129+N130+N131</f>
        <v>0</v>
      </c>
    </row>
    <row r="119" spans="1:17" x14ac:dyDescent="0.25">
      <c r="A119" s="56" t="s">
        <v>70</v>
      </c>
      <c r="B119" s="141">
        <f>IF(B16&gt;$E$1,0, IF(C113=0, 0,$E$1-B16))</f>
        <v>388.34999999999991</v>
      </c>
      <c r="C119" s="49">
        <v>4.6499999999999996E-3</v>
      </c>
      <c r="D119" s="58">
        <f>C119*B119</f>
        <v>1.8058274999999995</v>
      </c>
      <c r="E119" s="50">
        <f>C119</f>
        <v>4.6499999999999996E-3</v>
      </c>
      <c r="F119" s="82">
        <f>E119*B119</f>
        <v>1.8058274999999995</v>
      </c>
      <c r="G119" s="148">
        <f>G118/C114</f>
        <v>2.1612437500000007E-4</v>
      </c>
      <c r="H119" s="117">
        <f>H118/C114</f>
        <v>2.1612437500000007E-4</v>
      </c>
      <c r="J119" s="141">
        <f>IF(J16&gt;$E$1,0, IF(K113=0, 0,$E$1-J16))</f>
        <v>0</v>
      </c>
      <c r="K119" s="49">
        <v>1.6999999999999999E-3</v>
      </c>
      <c r="L119" s="58">
        <f>K119*J119</f>
        <v>0</v>
      </c>
      <c r="M119" s="50">
        <v>8.3000000000000001E-3</v>
      </c>
      <c r="N119" s="82">
        <f>M119*J119</f>
        <v>0</v>
      </c>
      <c r="O119" s="148" t="e">
        <f>O118/K112</f>
        <v>#DIV/0!</v>
      </c>
      <c r="P119" s="117" t="e">
        <f>P118/K112</f>
        <v>#DIV/0!</v>
      </c>
    </row>
    <row r="120" spans="1:17" x14ac:dyDescent="0.25">
      <c r="A120" s="56" t="s">
        <v>71</v>
      </c>
      <c r="B120" s="141">
        <f>IF(B84+B121&lt;$G$1,IF((B84+B121)&lt;$G$1,B121-B119,$G$1),$G$1-B84)</f>
        <v>65.250000000000114</v>
      </c>
      <c r="C120" s="49">
        <v>6.0000000000000001E-3</v>
      </c>
      <c r="D120" s="58">
        <f>C120*B120</f>
        <v>0.39150000000000068</v>
      </c>
      <c r="E120" s="50">
        <v>6.0000000000000001E-3</v>
      </c>
      <c r="F120" s="82">
        <f t="shared" ref="F120" si="25">E120*B120</f>
        <v>0.39150000000000068</v>
      </c>
      <c r="G120" s="158">
        <f>D117+D118</f>
        <v>0</v>
      </c>
      <c r="H120" s="154">
        <f>F117+F118</f>
        <v>0</v>
      </c>
      <c r="I120" s="1" t="s">
        <v>33</v>
      </c>
      <c r="J120" s="141">
        <f>IF(J84+J121&lt;$G$1,IF((J84+J121)&lt;$G$1,J121-J119,$G$1),$G$1-J84)</f>
        <v>0</v>
      </c>
      <c r="K120" s="49">
        <v>6.0000000000000001E-3</v>
      </c>
      <c r="L120" s="58">
        <f>K120*J120</f>
        <v>0</v>
      </c>
      <c r="M120" s="50">
        <v>6.0000000000000001E-3</v>
      </c>
      <c r="N120" s="82">
        <f t="shared" ref="N120" si="26">M120*J120</f>
        <v>0</v>
      </c>
      <c r="O120" s="153">
        <f>L117+L118</f>
        <v>0</v>
      </c>
      <c r="P120" s="154">
        <f>N117+N118</f>
        <v>0</v>
      </c>
      <c r="Q120" s="1" t="s">
        <v>33</v>
      </c>
    </row>
    <row r="121" spans="1:17" x14ac:dyDescent="0.25">
      <c r="A121" s="46" t="s">
        <v>72</v>
      </c>
      <c r="B121" s="184">
        <f>C112</f>
        <v>453.6</v>
      </c>
      <c r="C121" s="76"/>
      <c r="D121" s="52"/>
      <c r="E121" s="54">
        <v>0.12999901640594699</v>
      </c>
      <c r="F121" s="55">
        <f>E121*B121</f>
        <v>58.967553841737562</v>
      </c>
      <c r="G121" s="159">
        <f>D119+D120</f>
        <v>2.1973275000000001</v>
      </c>
      <c r="H121" s="160">
        <f>F119+F120</f>
        <v>2.1973275000000001</v>
      </c>
      <c r="I121" s="1" t="s">
        <v>34</v>
      </c>
      <c r="J121" s="184">
        <f>K112</f>
        <v>0</v>
      </c>
      <c r="K121" s="76"/>
      <c r="L121" s="52"/>
      <c r="M121" s="54">
        <v>0.12999901640594699</v>
      </c>
      <c r="N121" s="55">
        <f>M121*J121</f>
        <v>0</v>
      </c>
      <c r="O121" s="213">
        <f>L119+L120</f>
        <v>0</v>
      </c>
      <c r="P121" s="160">
        <f>N119+N120</f>
        <v>0</v>
      </c>
      <c r="Q121" s="1" t="s">
        <v>34</v>
      </c>
    </row>
    <row r="122" spans="1:17" x14ac:dyDescent="0.25">
      <c r="A122" s="79" t="s">
        <v>73</v>
      </c>
      <c r="B122" s="143">
        <f>B121</f>
        <v>453.6</v>
      </c>
      <c r="C122" s="43"/>
      <c r="D122" s="43"/>
      <c r="E122" s="44">
        <v>7.7000000000000002E-3</v>
      </c>
      <c r="F122" s="45">
        <f>E122*B122</f>
        <v>3.4927200000000003</v>
      </c>
      <c r="J122" s="143">
        <f>J121</f>
        <v>0</v>
      </c>
      <c r="K122" s="43"/>
      <c r="L122" s="43"/>
      <c r="M122" s="44">
        <v>7.7000000000000002E-3</v>
      </c>
      <c r="N122" s="45">
        <f>M122*J122</f>
        <v>0</v>
      </c>
    </row>
    <row r="123" spans="1:17" x14ac:dyDescent="0.25">
      <c r="A123" s="86" t="s">
        <v>74</v>
      </c>
      <c r="B123" s="140"/>
      <c r="C123" s="88"/>
      <c r="D123" s="88"/>
      <c r="E123" s="89"/>
      <c r="F123" s="90"/>
      <c r="G123" s="672" t="s">
        <v>75</v>
      </c>
      <c r="H123" s="673"/>
      <c r="I123" s="34"/>
      <c r="J123" s="140"/>
      <c r="K123" s="88"/>
      <c r="L123" s="88"/>
      <c r="M123" s="89"/>
      <c r="N123" s="90"/>
      <c r="O123" s="679" t="s">
        <v>75</v>
      </c>
      <c r="P123" s="673"/>
    </row>
    <row r="124" spans="1:17" x14ac:dyDescent="0.25">
      <c r="A124" s="91" t="s">
        <v>76</v>
      </c>
      <c r="B124" s="144">
        <f>B119</f>
        <v>388.34999999999991</v>
      </c>
      <c r="C124" s="93">
        <v>6.9000000000000006E-2</v>
      </c>
      <c r="D124" s="92">
        <f t="shared" ref="D124:D131" si="27">C124*B124</f>
        <v>26.796149999999997</v>
      </c>
      <c r="E124" s="94">
        <v>8.5498833138856464E-2</v>
      </c>
      <c r="F124" s="95">
        <f t="shared" ref="F124:F125" si="28">E124*B124</f>
        <v>33.203471849474901</v>
      </c>
      <c r="G124" s="120" t="s">
        <v>38</v>
      </c>
      <c r="H124" s="64" t="s">
        <v>27</v>
      </c>
      <c r="J124" s="144">
        <f>J119</f>
        <v>0</v>
      </c>
      <c r="K124" s="93">
        <v>6.9000000000000006E-2</v>
      </c>
      <c r="L124" s="92">
        <f t="shared" ref="L124:L131" si="29">K124*J124</f>
        <v>0</v>
      </c>
      <c r="M124" s="94">
        <v>8.5498833138856464E-2</v>
      </c>
      <c r="N124" s="95">
        <f t="shared" ref="N124:N125" si="30">M124*J124</f>
        <v>0</v>
      </c>
      <c r="O124" s="120" t="s">
        <v>38</v>
      </c>
      <c r="P124" s="64" t="s">
        <v>27</v>
      </c>
    </row>
    <row r="125" spans="1:17" x14ac:dyDescent="0.25">
      <c r="A125" s="47" t="s">
        <v>77</v>
      </c>
      <c r="B125" s="145">
        <f>B121</f>
        <v>453.6</v>
      </c>
      <c r="C125" s="85">
        <v>4.0000000000000001E-3</v>
      </c>
      <c r="D125" s="84">
        <f t="shared" si="27"/>
        <v>1.8144000000000002</v>
      </c>
      <c r="E125" s="50">
        <v>1.899942389491201E-2</v>
      </c>
      <c r="F125" s="51">
        <f t="shared" si="28"/>
        <v>8.6181386787320875</v>
      </c>
      <c r="G125" s="123">
        <f>D124+D125+D126+D127+D128+D134</f>
        <v>51.269588999999996</v>
      </c>
      <c r="H125" s="65"/>
      <c r="J125" s="145">
        <f>J121</f>
        <v>0</v>
      </c>
      <c r="K125" s="85">
        <v>4.0000000000000001E-3</v>
      </c>
      <c r="L125" s="84">
        <f t="shared" si="29"/>
        <v>0</v>
      </c>
      <c r="M125" s="50">
        <v>1.899942389491201E-2</v>
      </c>
      <c r="N125" s="51">
        <f t="shared" si="30"/>
        <v>0</v>
      </c>
      <c r="O125" s="211">
        <f>L124+L125+L126+L127+L128+L134</f>
        <v>0</v>
      </c>
      <c r="P125" s="65"/>
    </row>
    <row r="126" spans="1:17" x14ac:dyDescent="0.25">
      <c r="A126" s="47" t="s">
        <v>78</v>
      </c>
      <c r="B126" s="141">
        <f>B124</f>
        <v>388.34999999999991</v>
      </c>
      <c r="C126" s="49">
        <v>4.0099999999999997E-2</v>
      </c>
      <c r="D126" s="48">
        <f t="shared" si="27"/>
        <v>15.572834999999994</v>
      </c>
      <c r="E126" s="50">
        <v>6.0099183197199535E-2</v>
      </c>
      <c r="F126" s="51">
        <f>E126*B126</f>
        <v>23.339517794632435</v>
      </c>
      <c r="G126" s="124">
        <f>G125/C114</f>
        <v>1.42415525E-3</v>
      </c>
      <c r="H126" s="67"/>
      <c r="J126" s="141">
        <f>J124</f>
        <v>0</v>
      </c>
      <c r="K126" s="49">
        <v>4.0099999999999997E-2</v>
      </c>
      <c r="L126" s="48">
        <f t="shared" si="29"/>
        <v>0</v>
      </c>
      <c r="M126" s="50">
        <v>6.0099183197199535E-2</v>
      </c>
      <c r="N126" s="51">
        <f>M126*J126</f>
        <v>0</v>
      </c>
      <c r="O126" s="124" t="e">
        <f>O125/K112</f>
        <v>#DIV/0!</v>
      </c>
      <c r="P126" s="67"/>
    </row>
    <row r="127" spans="1:17" x14ac:dyDescent="0.25">
      <c r="A127" s="47" t="s">
        <v>79</v>
      </c>
      <c r="B127" s="141">
        <f>B120</f>
        <v>65.250000000000114</v>
      </c>
      <c r="C127" s="49">
        <v>9.7199999999999995E-2</v>
      </c>
      <c r="D127" s="48">
        <f t="shared" si="27"/>
        <v>6.3423000000000105</v>
      </c>
      <c r="E127" s="50">
        <v>0.145705</v>
      </c>
      <c r="F127" s="51">
        <f>E127*B127</f>
        <v>9.5072512500000173</v>
      </c>
      <c r="J127" s="141">
        <f>J120</f>
        <v>0</v>
      </c>
      <c r="K127" s="49">
        <v>9.7199999999999995E-2</v>
      </c>
      <c r="L127" s="48">
        <f t="shared" si="29"/>
        <v>0</v>
      </c>
      <c r="M127" s="50">
        <v>0.145705</v>
      </c>
      <c r="N127" s="51">
        <f>M127*J127</f>
        <v>0</v>
      </c>
    </row>
    <row r="128" spans="1:17" x14ac:dyDescent="0.25">
      <c r="A128" s="81" t="s">
        <v>80</v>
      </c>
      <c r="B128" s="141">
        <f>B125</f>
        <v>453.6</v>
      </c>
      <c r="C128" s="49">
        <v>1.4E-3</v>
      </c>
      <c r="D128" s="48">
        <f t="shared" si="27"/>
        <v>0.63504000000000005</v>
      </c>
      <c r="E128" s="50">
        <v>2.0996722022269378E-3</v>
      </c>
      <c r="F128" s="51">
        <f t="shared" ref="F128:F131" si="31">E128*B128</f>
        <v>0.95241131093013898</v>
      </c>
      <c r="J128" s="141">
        <f>J125</f>
        <v>0</v>
      </c>
      <c r="K128" s="49">
        <v>1.4E-3</v>
      </c>
      <c r="L128" s="48">
        <f t="shared" si="29"/>
        <v>0</v>
      </c>
      <c r="M128" s="50">
        <v>2.0996722022269378E-3</v>
      </c>
      <c r="N128" s="51">
        <f t="shared" ref="N128:N131" si="32">M128*J128</f>
        <v>0</v>
      </c>
    </row>
    <row r="129" spans="1:17" x14ac:dyDescent="0.25">
      <c r="A129" s="56" t="s">
        <v>81</v>
      </c>
      <c r="B129" s="141">
        <f>B126</f>
        <v>388.34999999999991</v>
      </c>
      <c r="C129" s="49">
        <v>8.9999999999999993E-3</v>
      </c>
      <c r="D129" s="59">
        <f t="shared" si="27"/>
        <v>3.4951499999999989</v>
      </c>
      <c r="E129" s="50">
        <f>C129</f>
        <v>8.9999999999999993E-3</v>
      </c>
      <c r="F129" s="82">
        <f t="shared" si="31"/>
        <v>3.4951499999999989</v>
      </c>
      <c r="G129" s="153">
        <f>D129+D130+D131</f>
        <v>5.5831500000000025</v>
      </c>
      <c r="H129" s="154">
        <f>F129+F130+F131</f>
        <v>5.5831500000000025</v>
      </c>
      <c r="I129" s="1" t="s">
        <v>35</v>
      </c>
      <c r="J129" s="141">
        <f>J126</f>
        <v>0</v>
      </c>
      <c r="K129" s="49">
        <v>0.01</v>
      </c>
      <c r="L129" s="59">
        <f t="shared" si="29"/>
        <v>0</v>
      </c>
      <c r="M129" s="50">
        <v>0.05</v>
      </c>
      <c r="N129" s="82">
        <f t="shared" si="32"/>
        <v>0</v>
      </c>
      <c r="O129" s="257">
        <f>L129+L130+L131</f>
        <v>0</v>
      </c>
      <c r="P129" s="258">
        <f>N129+N130+N131</f>
        <v>0</v>
      </c>
      <c r="Q129" s="1" t="s">
        <v>35</v>
      </c>
    </row>
    <row r="130" spans="1:17" x14ac:dyDescent="0.25">
      <c r="A130" s="56" t="s">
        <v>82</v>
      </c>
      <c r="B130" s="141">
        <f>B120</f>
        <v>65.250000000000114</v>
      </c>
      <c r="C130" s="49">
        <v>3.2000000000000001E-2</v>
      </c>
      <c r="D130" s="59">
        <f t="shared" si="27"/>
        <v>2.0880000000000036</v>
      </c>
      <c r="E130" s="50">
        <f>C130</f>
        <v>3.2000000000000001E-2</v>
      </c>
      <c r="F130" s="82">
        <f t="shared" si="31"/>
        <v>2.0880000000000036</v>
      </c>
      <c r="G130" s="125"/>
      <c r="H130" s="119">
        <f>G129+H129</f>
        <v>11.166300000000005</v>
      </c>
      <c r="J130" s="141">
        <f>J120</f>
        <v>0</v>
      </c>
      <c r="K130" s="49">
        <v>0.01</v>
      </c>
      <c r="L130" s="59">
        <f t="shared" si="29"/>
        <v>0</v>
      </c>
      <c r="M130" s="50">
        <v>0.05</v>
      </c>
      <c r="N130" s="82">
        <f t="shared" si="32"/>
        <v>0</v>
      </c>
    </row>
    <row r="131" spans="1:17" x14ac:dyDescent="0.25">
      <c r="A131" s="57" t="s">
        <v>83</v>
      </c>
      <c r="B131" s="146">
        <f>IF(B85&gt;0,  IF((B85+B121-B119-B120)&gt;=$G$1,B121-B119-B120,0), 0 )</f>
        <v>0</v>
      </c>
      <c r="C131" s="53">
        <v>3.5000000000000003E-2</v>
      </c>
      <c r="D131" s="60">
        <f t="shared" si="27"/>
        <v>0</v>
      </c>
      <c r="E131" s="54">
        <f>C131</f>
        <v>3.5000000000000003E-2</v>
      </c>
      <c r="F131" s="83">
        <f t="shared" si="31"/>
        <v>0</v>
      </c>
      <c r="H131" s="34"/>
      <c r="J131" s="146">
        <f>IF(J85&gt;0,  IF((J85+J121-J119-J120)&gt;=$G$1,J121-J119-J120,0), 0 )</f>
        <v>0</v>
      </c>
      <c r="K131" s="53">
        <v>0.01</v>
      </c>
      <c r="L131" s="60">
        <f t="shared" si="29"/>
        <v>0</v>
      </c>
      <c r="M131" s="54">
        <v>0.05</v>
      </c>
      <c r="N131" s="83">
        <f t="shared" si="32"/>
        <v>0</v>
      </c>
      <c r="P131" s="34"/>
    </row>
    <row r="132" spans="1:17" x14ac:dyDescent="0.25">
      <c r="A132" s="79" t="s">
        <v>84</v>
      </c>
      <c r="B132" s="143">
        <f>B121</f>
        <v>453.6</v>
      </c>
      <c r="C132" s="43"/>
      <c r="D132" s="43"/>
      <c r="E132" s="44">
        <v>5.2499999999999998E-2</v>
      </c>
      <c r="F132" s="45">
        <f>E132*B132</f>
        <v>23.814</v>
      </c>
      <c r="H132" s="34"/>
      <c r="J132" s="143">
        <f>J121</f>
        <v>0</v>
      </c>
      <c r="K132" s="43"/>
      <c r="L132" s="43"/>
      <c r="M132" s="44">
        <v>5.2499999999999998E-2</v>
      </c>
      <c r="N132" s="45">
        <f>M132*J132</f>
        <v>0</v>
      </c>
    </row>
    <row r="133" spans="1:17" x14ac:dyDescent="0.25">
      <c r="A133" s="86" t="s">
        <v>85</v>
      </c>
      <c r="B133" s="140"/>
      <c r="C133" s="88"/>
      <c r="D133" s="88"/>
      <c r="E133" s="89"/>
      <c r="F133" s="90"/>
      <c r="H133" s="34"/>
      <c r="J133" s="140"/>
      <c r="K133" s="88"/>
      <c r="L133" s="88"/>
      <c r="M133" s="89"/>
      <c r="N133" s="90"/>
    </row>
    <row r="134" spans="1:17" x14ac:dyDescent="0.25">
      <c r="A134" s="91" t="s">
        <v>86</v>
      </c>
      <c r="B134" s="144">
        <f>B121</f>
        <v>453.6</v>
      </c>
      <c r="C134" s="93">
        <v>2.4000000000000001E-4</v>
      </c>
      <c r="D134" s="92">
        <f>C134*B134</f>
        <v>0.108864</v>
      </c>
      <c r="E134" s="94">
        <v>3.5931292944418913E-4</v>
      </c>
      <c r="F134" s="95">
        <f>E134*B134</f>
        <v>0.1629843447958842</v>
      </c>
      <c r="H134" s="34"/>
      <c r="J134" s="144">
        <f>J121</f>
        <v>0</v>
      </c>
      <c r="K134" s="93">
        <v>2.4000000000000001E-4</v>
      </c>
      <c r="L134" s="92">
        <f>K134*J134</f>
        <v>0</v>
      </c>
      <c r="M134" s="94">
        <v>3.5931292944418913E-4</v>
      </c>
      <c r="N134" s="95">
        <f>M134*J134</f>
        <v>0</v>
      </c>
    </row>
    <row r="135" spans="1:17" x14ac:dyDescent="0.25">
      <c r="A135" s="46" t="s">
        <v>88</v>
      </c>
      <c r="B135" s="146">
        <f>B121</f>
        <v>453.6</v>
      </c>
      <c r="C135" s="53"/>
      <c r="D135" s="52">
        <f>C135*B135</f>
        <v>0</v>
      </c>
      <c r="E135" s="54">
        <v>4.1999466048942842E-2</v>
      </c>
      <c r="F135" s="55">
        <f t="shared" ref="F135" si="33">E135*B135</f>
        <v>19.050957799800475</v>
      </c>
      <c r="J135" s="146">
        <f>J121</f>
        <v>0</v>
      </c>
      <c r="K135" s="53"/>
      <c r="L135" s="52">
        <f>K135*J135</f>
        <v>0</v>
      </c>
      <c r="M135" s="54">
        <v>4.1999466048942842E-2</v>
      </c>
      <c r="N135" s="55">
        <f t="shared" ref="N135" si="34">M135*J135</f>
        <v>0</v>
      </c>
    </row>
    <row r="136" spans="1:17" x14ac:dyDescent="0.25">
      <c r="A136" s="86" t="s">
        <v>89</v>
      </c>
      <c r="B136" s="140">
        <f>C112*$I$1+H118</f>
        <v>453.44247750000005</v>
      </c>
      <c r="C136" s="88"/>
      <c r="D136" s="88"/>
      <c r="E136" s="89">
        <v>6.6242245000000005E-2</v>
      </c>
      <c r="F136" s="90">
        <f>E136*B137</f>
        <v>30.047482332000005</v>
      </c>
      <c r="G136" s="672" t="s">
        <v>90</v>
      </c>
      <c r="H136" s="673"/>
      <c r="J136" s="140">
        <f>K112*$I$1+P118</f>
        <v>0</v>
      </c>
      <c r="K136" s="88"/>
      <c r="L136" s="88"/>
      <c r="M136" s="89">
        <v>6.6242245000000005E-2</v>
      </c>
      <c r="N136" s="90">
        <f>M136*J137</f>
        <v>0</v>
      </c>
      <c r="O136" s="192" t="s">
        <v>90</v>
      </c>
      <c r="P136" s="193"/>
    </row>
    <row r="137" spans="1:17" x14ac:dyDescent="0.25">
      <c r="A137" s="91" t="s">
        <v>91</v>
      </c>
      <c r="B137" s="145">
        <f>B121</f>
        <v>453.6</v>
      </c>
      <c r="C137" s="85"/>
      <c r="D137" s="84"/>
      <c r="E137" s="50">
        <v>2.0999999999999999E-3</v>
      </c>
      <c r="F137" s="51">
        <f>E137*B137</f>
        <v>0.95255999999999996</v>
      </c>
      <c r="G137" s="126" t="s">
        <v>38</v>
      </c>
      <c r="H137" s="72" t="s">
        <v>27</v>
      </c>
      <c r="J137" s="145">
        <f>J121</f>
        <v>0</v>
      </c>
      <c r="K137" s="85"/>
      <c r="L137" s="84"/>
      <c r="M137" s="50">
        <v>2.0999999999999999E-3</v>
      </c>
      <c r="N137" s="51">
        <f>M137*J137</f>
        <v>0</v>
      </c>
      <c r="O137" s="126" t="s">
        <v>38</v>
      </c>
      <c r="P137" s="72" t="s">
        <v>27</v>
      </c>
    </row>
    <row r="138" spans="1:17" x14ac:dyDescent="0.25">
      <c r="A138" s="47" t="s">
        <v>92</v>
      </c>
      <c r="B138" s="141">
        <f>B136</f>
        <v>453.44247750000005</v>
      </c>
      <c r="C138" s="49">
        <v>6.8000000000000005E-2</v>
      </c>
      <c r="D138" s="48">
        <f>B138*C138</f>
        <v>30.834088470000005</v>
      </c>
      <c r="E138" s="97"/>
      <c r="F138" s="96"/>
      <c r="G138" s="121">
        <f>D138+D139</f>
        <v>43.983920317500008</v>
      </c>
      <c r="H138" s="65"/>
      <c r="J138" s="141">
        <f>J136</f>
        <v>0</v>
      </c>
      <c r="K138" s="49">
        <v>6.8000000000000005E-2</v>
      </c>
      <c r="L138" s="48">
        <f>J138*K138</f>
        <v>0</v>
      </c>
      <c r="M138" s="97"/>
      <c r="N138" s="96"/>
      <c r="O138" s="121">
        <f>L138+L139</f>
        <v>0</v>
      </c>
      <c r="P138" s="65"/>
    </row>
    <row r="139" spans="1:17" x14ac:dyDescent="0.25">
      <c r="A139" s="47" t="s">
        <v>93</v>
      </c>
      <c r="B139" s="141">
        <f>B138</f>
        <v>453.44247750000005</v>
      </c>
      <c r="C139" s="49">
        <v>2.9000000000000001E-2</v>
      </c>
      <c r="D139" s="48">
        <f>B139*C139</f>
        <v>13.149831847500002</v>
      </c>
      <c r="E139" s="97"/>
      <c r="F139" s="96"/>
      <c r="G139" s="124">
        <f>G138/C114</f>
        <v>1.2217755643750003E-3</v>
      </c>
      <c r="H139" s="70"/>
      <c r="J139" s="141">
        <f>J138</f>
        <v>0</v>
      </c>
      <c r="K139" s="49">
        <v>2.9000000000000001E-2</v>
      </c>
      <c r="L139" s="48">
        <f>J139*K139</f>
        <v>0</v>
      </c>
      <c r="M139" s="97"/>
      <c r="N139" s="96"/>
      <c r="O139" s="124" t="e">
        <f>O138/K112</f>
        <v>#DIV/0!</v>
      </c>
      <c r="P139" s="70"/>
    </row>
    <row r="140" spans="1:17" x14ac:dyDescent="0.25">
      <c r="A140" s="152" t="s">
        <v>94</v>
      </c>
      <c r="B140" s="147">
        <v>0</v>
      </c>
      <c r="C140" s="111">
        <v>9.7000000000000003E-2</v>
      </c>
      <c r="D140" s="110">
        <f>C140*B140</f>
        <v>0</v>
      </c>
      <c r="E140" s="112"/>
      <c r="F140" s="101"/>
      <c r="J140" s="147">
        <v>0</v>
      </c>
      <c r="K140" s="111">
        <v>9.7000000000000003E-2</v>
      </c>
      <c r="L140" s="110">
        <f>K140*J140</f>
        <v>0</v>
      </c>
      <c r="M140" s="112"/>
      <c r="N140" s="101"/>
    </row>
  </sheetData>
  <mergeCells count="47">
    <mergeCell ref="G136:H136"/>
    <mergeCell ref="G102:H102"/>
    <mergeCell ref="B110:D110"/>
    <mergeCell ref="G110:H110"/>
    <mergeCell ref="E111:F111"/>
    <mergeCell ref="G116:H116"/>
    <mergeCell ref="J110:L110"/>
    <mergeCell ref="O110:P110"/>
    <mergeCell ref="O116:P116"/>
    <mergeCell ref="O123:P123"/>
    <mergeCell ref="B76:D76"/>
    <mergeCell ref="G76:H76"/>
    <mergeCell ref="E77:F77"/>
    <mergeCell ref="G82:H82"/>
    <mergeCell ref="G89:H89"/>
    <mergeCell ref="O89:P89"/>
    <mergeCell ref="G123:H123"/>
    <mergeCell ref="O33:P33"/>
    <mergeCell ref="G48:H48"/>
    <mergeCell ref="G55:H55"/>
    <mergeCell ref="O76:P76"/>
    <mergeCell ref="O82:P82"/>
    <mergeCell ref="J76:L76"/>
    <mergeCell ref="G68:H68"/>
    <mergeCell ref="A3:B3"/>
    <mergeCell ref="C3:D3"/>
    <mergeCell ref="C41:F41"/>
    <mergeCell ref="O20:P20"/>
    <mergeCell ref="C5:F5"/>
    <mergeCell ref="J5:N5"/>
    <mergeCell ref="B6:D6"/>
    <mergeCell ref="J6:L6"/>
    <mergeCell ref="B7:D7"/>
    <mergeCell ref="G7:H7"/>
    <mergeCell ref="J7:L7"/>
    <mergeCell ref="O7:P7"/>
    <mergeCell ref="E8:F8"/>
    <mergeCell ref="M8:N8"/>
    <mergeCell ref="G13:H13"/>
    <mergeCell ref="O13:P13"/>
    <mergeCell ref="B42:D42"/>
    <mergeCell ref="G42:H42"/>
    <mergeCell ref="E43:F43"/>
    <mergeCell ref="G20:H20"/>
    <mergeCell ref="G33:H33"/>
    <mergeCell ref="C39:D39"/>
    <mergeCell ref="A39:B39"/>
  </mergeCells>
  <pageMargins left="0.70000000000000007" right="0.70000000000000007" top="0.75" bottom="0.75" header="0.30000000000000004" footer="0.30000000000000004"/>
  <pageSetup fitToWidth="0" fitToHeight="0" orientation="portrait" r:id="rId1"/>
  <headerFooter>
    <oddHeader>&amp;R&amp;"Calibri"&amp;12&amp;KFF8C00CONFIDENTIAL &amp; RESTRICTED&amp;1#</oddHeader>
  </headerFooter>
  <ignoredErrors>
    <ignoredError sqref="F33 N3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6BF49-FF18-4A93-AB70-C33B3A82FDAA}">
  <dimension ref="A1:E25"/>
  <sheetViews>
    <sheetView workbookViewId="0">
      <selection activeCell="C41" sqref="A41:N69"/>
    </sheetView>
  </sheetViews>
  <sheetFormatPr defaultRowHeight="15" x14ac:dyDescent="0.25"/>
  <cols>
    <col min="1" max="1" width="31.140625" customWidth="1"/>
    <col min="2" max="2" width="32" customWidth="1"/>
    <col min="3" max="3" width="14.85546875" style="21" bestFit="1" customWidth="1"/>
  </cols>
  <sheetData>
    <row r="1" spans="1:5" x14ac:dyDescent="0.25">
      <c r="B1" s="16"/>
      <c r="C1" s="15"/>
      <c r="D1" s="16"/>
      <c r="E1" s="15"/>
    </row>
    <row r="3" spans="1:5" x14ac:dyDescent="0.25">
      <c r="C3" s="750" t="s">
        <v>225</v>
      </c>
      <c r="D3" s="750"/>
    </row>
    <row r="4" spans="1:5" x14ac:dyDescent="0.25">
      <c r="A4" s="23" t="s">
        <v>226</v>
      </c>
      <c r="B4" s="24" t="s">
        <v>227</v>
      </c>
      <c r="C4" s="21" t="s">
        <v>228</v>
      </c>
      <c r="D4" t="s">
        <v>229</v>
      </c>
      <c r="E4" t="s">
        <v>230</v>
      </c>
    </row>
    <row r="5" spans="1:5" x14ac:dyDescent="0.25">
      <c r="A5" s="8" t="s">
        <v>231</v>
      </c>
      <c r="B5" s="8"/>
      <c r="C5" s="22"/>
    </row>
    <row r="6" spans="1:5" x14ac:dyDescent="0.25">
      <c r="A6" s="9" t="s">
        <v>72</v>
      </c>
      <c r="B6" s="9"/>
      <c r="C6" s="5"/>
    </row>
    <row r="7" spans="1:5" x14ac:dyDescent="0.25">
      <c r="A7" s="9" t="s">
        <v>232</v>
      </c>
      <c r="B7" s="25">
        <v>3428</v>
      </c>
      <c r="C7" s="10">
        <v>4.6499999999999996E-3</v>
      </c>
    </row>
    <row r="8" spans="1:5" x14ac:dyDescent="0.25">
      <c r="A8" s="9" t="s">
        <v>233</v>
      </c>
      <c r="B8" s="25">
        <v>13712</v>
      </c>
      <c r="C8" s="10">
        <v>6.0000000000000001E-3</v>
      </c>
    </row>
    <row r="9" spans="1:5" x14ac:dyDescent="0.25">
      <c r="A9" s="9" t="s">
        <v>234</v>
      </c>
      <c r="B9" s="25">
        <v>3428</v>
      </c>
      <c r="C9" s="10">
        <v>1.67E-2</v>
      </c>
    </row>
    <row r="10" spans="1:5" x14ac:dyDescent="0.25">
      <c r="A10" s="9" t="s">
        <v>231</v>
      </c>
      <c r="B10" s="9"/>
      <c r="C10" s="10">
        <v>6.6E-4</v>
      </c>
    </row>
    <row r="11" spans="1:5" x14ac:dyDescent="0.25">
      <c r="A11" s="8" t="s">
        <v>73</v>
      </c>
      <c r="B11" s="8"/>
      <c r="C11" s="11"/>
    </row>
    <row r="12" spans="1:5" x14ac:dyDescent="0.25">
      <c r="A12" s="9" t="s">
        <v>235</v>
      </c>
      <c r="B12" s="9"/>
      <c r="C12" s="10">
        <v>6.9000000000000006E-2</v>
      </c>
    </row>
    <row r="13" spans="1:5" x14ac:dyDescent="0.25">
      <c r="A13" s="9" t="s">
        <v>236</v>
      </c>
      <c r="B13" s="9"/>
      <c r="C13" s="10">
        <v>4.0000000000000001E-3</v>
      </c>
    </row>
    <row r="14" spans="1:5" x14ac:dyDescent="0.25">
      <c r="A14" s="9" t="s">
        <v>78</v>
      </c>
      <c r="B14" s="25">
        <v>3428</v>
      </c>
      <c r="C14" s="10">
        <v>4.0099999999999997E-2</v>
      </c>
    </row>
    <row r="15" spans="1:5" x14ac:dyDescent="0.25">
      <c r="A15" s="9" t="s">
        <v>79</v>
      </c>
      <c r="B15" s="25">
        <v>13712</v>
      </c>
      <c r="C15" s="10">
        <v>9.7199999999999995E-2</v>
      </c>
    </row>
    <row r="16" spans="1:5" x14ac:dyDescent="0.25">
      <c r="A16" s="13" t="s">
        <v>80</v>
      </c>
      <c r="B16" s="13"/>
      <c r="C16" s="10">
        <v>1.4E-3</v>
      </c>
    </row>
    <row r="17" spans="1:3" x14ac:dyDescent="0.25">
      <c r="A17" s="9" t="s">
        <v>81</v>
      </c>
      <c r="B17" s="25">
        <v>3428</v>
      </c>
      <c r="C17" s="10">
        <v>8.9999999999999993E-3</v>
      </c>
    </row>
    <row r="18" spans="1:3" x14ac:dyDescent="0.25">
      <c r="A18" s="9" t="s">
        <v>82</v>
      </c>
      <c r="B18" s="25">
        <v>13712</v>
      </c>
      <c r="C18" s="10">
        <v>3.2000000000000001E-2</v>
      </c>
    </row>
    <row r="19" spans="1:3" x14ac:dyDescent="0.25">
      <c r="A19" s="9" t="s">
        <v>83</v>
      </c>
      <c r="B19" s="9"/>
      <c r="C19" s="10">
        <v>3.5000000000000003E-2</v>
      </c>
    </row>
    <row r="20" spans="1:3" x14ac:dyDescent="0.25">
      <c r="A20" s="8" t="s">
        <v>237</v>
      </c>
      <c r="B20" s="8"/>
      <c r="C20" s="12"/>
    </row>
    <row r="21" spans="1:3" x14ac:dyDescent="0.25">
      <c r="A21" s="9" t="s">
        <v>88</v>
      </c>
      <c r="B21" s="9"/>
      <c r="C21" s="10"/>
    </row>
    <row r="22" spans="1:3" x14ac:dyDescent="0.25">
      <c r="A22" s="9" t="s">
        <v>86</v>
      </c>
      <c r="B22" s="9"/>
      <c r="C22" s="10">
        <v>2.4000000000000001E-4</v>
      </c>
    </row>
    <row r="23" spans="1:3" x14ac:dyDescent="0.25">
      <c r="A23" s="8" t="s">
        <v>238</v>
      </c>
      <c r="B23" s="8"/>
      <c r="C23" s="14"/>
    </row>
    <row r="24" spans="1:3" x14ac:dyDescent="0.25">
      <c r="A24" s="9" t="s">
        <v>239</v>
      </c>
      <c r="B24" s="9"/>
      <c r="C24" s="10">
        <v>6.8000000000000005E-2</v>
      </c>
    </row>
    <row r="25" spans="1:3" x14ac:dyDescent="0.25">
      <c r="A25" s="9" t="s">
        <v>240</v>
      </c>
      <c r="B25" s="9"/>
      <c r="C25" s="10">
        <v>2.9000000000000001E-2</v>
      </c>
    </row>
  </sheetData>
  <mergeCells count="1">
    <mergeCell ref="C3:D3"/>
  </mergeCells>
  <pageMargins left="0.7" right="0.7" top="0.75" bottom="0.75" header="0.3" footer="0.3"/>
  <pageSetup orientation="portrait" r:id="rId1"/>
  <headerFooter>
    <oddHeader>&amp;R&amp;"Calibri"&amp;12&amp;KFF8C00CONFIDENTIAL &amp;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EFF20-D043-4AEC-9000-6BDEFFC8F57C}">
  <dimension ref="A1:K36"/>
  <sheetViews>
    <sheetView tabSelected="1" zoomScale="80" zoomScaleNormal="80" workbookViewId="0">
      <selection activeCell="G12" sqref="G12:H12"/>
    </sheetView>
  </sheetViews>
  <sheetFormatPr defaultRowHeight="15" x14ac:dyDescent="0.25"/>
  <cols>
    <col min="1" max="2" width="13.7109375" style="17" customWidth="1"/>
    <col min="3" max="3" width="4.7109375" style="17" customWidth="1"/>
    <col min="4" max="4" width="3.28515625" customWidth="1"/>
    <col min="5" max="5" width="10" customWidth="1"/>
    <col min="6" max="8" width="13.7109375" customWidth="1"/>
    <col min="9" max="9" width="22.42578125" customWidth="1"/>
    <col min="10" max="10" width="13.7109375" customWidth="1"/>
    <col min="11" max="11" width="7.5703125" customWidth="1"/>
    <col min="12" max="12" width="13.7109375" customWidth="1"/>
  </cols>
  <sheetData>
    <row r="1" spans="1:11" ht="21.75" customHeight="1" x14ac:dyDescent="0.25">
      <c r="D1" s="610" t="s">
        <v>306</v>
      </c>
      <c r="E1" s="610"/>
      <c r="F1" s="610"/>
      <c r="G1" s="610"/>
      <c r="H1" s="610"/>
      <c r="I1" s="610"/>
      <c r="J1" s="607" t="s">
        <v>266</v>
      </c>
      <c r="K1" s="607"/>
    </row>
    <row r="2" spans="1:11" ht="43.5" customHeight="1" x14ac:dyDescent="0.25">
      <c r="D2" s="610"/>
      <c r="E2" s="610"/>
      <c r="F2" s="610"/>
      <c r="G2" s="610"/>
      <c r="H2" s="610"/>
      <c r="I2" s="610"/>
      <c r="J2" s="32"/>
      <c r="K2" s="32"/>
    </row>
    <row r="3" spans="1:11" ht="4.5" customHeight="1" x14ac:dyDescent="0.25">
      <c r="D3" s="32"/>
      <c r="E3" s="32"/>
      <c r="F3" s="32"/>
      <c r="G3" s="32"/>
      <c r="H3" s="32"/>
      <c r="I3" s="32"/>
      <c r="J3" s="32"/>
      <c r="K3" s="32"/>
    </row>
    <row r="4" spans="1:11" ht="31.5" customHeight="1" x14ac:dyDescent="0.25">
      <c r="D4" s="610" t="s">
        <v>275</v>
      </c>
      <c r="E4" s="610"/>
      <c r="F4" s="610"/>
      <c r="G4" s="610"/>
      <c r="H4" s="610"/>
      <c r="I4" s="610"/>
      <c r="J4" s="32"/>
      <c r="K4" s="32"/>
    </row>
    <row r="5" spans="1:11" ht="24.75" customHeight="1" x14ac:dyDescent="0.4">
      <c r="A5" s="545" t="s">
        <v>4</v>
      </c>
      <c r="B5" s="545"/>
      <c r="C5" s="545"/>
      <c r="D5" s="610"/>
      <c r="E5" s="610"/>
      <c r="F5" s="610"/>
      <c r="G5" s="610"/>
      <c r="H5" s="610"/>
      <c r="I5" s="610"/>
      <c r="J5" s="32"/>
      <c r="K5" s="32"/>
    </row>
    <row r="6" spans="1:11" ht="22.5" customHeight="1" x14ac:dyDescent="0.4">
      <c r="A6" s="545" t="str">
        <f>'Simulateur CFDT '!A6</f>
        <v>Section Amadeus</v>
      </c>
      <c r="B6" s="545"/>
      <c r="C6" s="545"/>
      <c r="D6" s="610"/>
      <c r="E6" s="610"/>
      <c r="F6" s="610"/>
      <c r="G6" s="610"/>
      <c r="H6" s="610"/>
      <c r="I6" s="610"/>
      <c r="J6" s="32"/>
      <c r="K6" s="32"/>
    </row>
    <row r="7" spans="1:11" ht="22.5" customHeight="1" x14ac:dyDescent="0.4">
      <c r="A7" s="538"/>
      <c r="B7" s="538"/>
      <c r="C7" s="538"/>
      <c r="D7" s="532"/>
      <c r="E7" s="532"/>
      <c r="F7" s="532"/>
      <c r="G7" s="532"/>
      <c r="H7" s="532"/>
      <c r="I7" s="532"/>
      <c r="J7" s="32"/>
      <c r="K7" s="32"/>
    </row>
    <row r="8" spans="1:11" ht="18.75" x14ac:dyDescent="0.3">
      <c r="A8" s="606" t="str">
        <f>'Simulateur Fusion CFDT'!A6:C6</f>
        <v>Salaire mensuel de base (Brut)</v>
      </c>
      <c r="B8" s="606"/>
      <c r="C8" s="606"/>
      <c r="D8" s="27" t="s">
        <v>267</v>
      </c>
      <c r="E8" s="28"/>
      <c r="F8" s="28"/>
      <c r="G8" s="28"/>
      <c r="H8" s="28"/>
      <c r="I8" s="28"/>
      <c r="J8" s="28"/>
    </row>
    <row r="9" spans="1:11" ht="9.75" customHeight="1" x14ac:dyDescent="0.3">
      <c r="A9" s="539"/>
      <c r="B9" s="539"/>
      <c r="C9" s="539"/>
      <c r="D9" s="27"/>
      <c r="E9" s="28"/>
      <c r="F9" s="28"/>
      <c r="G9" s="28"/>
      <c r="H9" s="28"/>
      <c r="I9" s="28"/>
      <c r="J9" s="28"/>
    </row>
    <row r="10" spans="1:11" ht="15.75" x14ac:dyDescent="0.25">
      <c r="A10" s="609"/>
      <c r="B10" s="609"/>
      <c r="C10" s="609"/>
      <c r="D10" s="28" t="s">
        <v>268</v>
      </c>
      <c r="E10" s="28"/>
      <c r="F10" s="28"/>
      <c r="G10" s="28"/>
      <c r="H10" s="28"/>
      <c r="I10" s="33" t="s">
        <v>168</v>
      </c>
      <c r="J10" s="28"/>
    </row>
    <row r="11" spans="1:11" ht="15.75" x14ac:dyDescent="0.25">
      <c r="A11" s="608"/>
      <c r="B11" s="608"/>
      <c r="C11" s="608"/>
      <c r="E11" s="28" t="s">
        <v>280</v>
      </c>
      <c r="H11" s="28"/>
      <c r="I11" s="28"/>
      <c r="J11" s="28"/>
    </row>
    <row r="12" spans="1:11" ht="15.75" x14ac:dyDescent="0.25">
      <c r="A12" s="608"/>
      <c r="B12" s="608"/>
      <c r="C12" s="608"/>
      <c r="D12" s="28"/>
      <c r="E12" s="28" t="s">
        <v>277</v>
      </c>
      <c r="H12" s="28"/>
      <c r="I12" s="28"/>
      <c r="J12" s="28"/>
    </row>
    <row r="13" spans="1:11" ht="15.75" x14ac:dyDescent="0.25">
      <c r="A13" s="540"/>
      <c r="B13" s="540"/>
      <c r="C13" s="540"/>
      <c r="D13" s="28"/>
      <c r="E13" s="28"/>
      <c r="G13" s="28"/>
      <c r="H13" s="28"/>
      <c r="I13" s="28"/>
      <c r="J13" s="28"/>
    </row>
    <row r="14" spans="1:11" ht="15.75" x14ac:dyDescent="0.25">
      <c r="A14" s="540"/>
      <c r="B14" s="540"/>
      <c r="C14" s="540"/>
      <c r="D14" s="28"/>
      <c r="E14" s="28"/>
      <c r="F14" s="28"/>
      <c r="G14" s="28"/>
      <c r="H14" s="28"/>
      <c r="I14" s="28"/>
      <c r="J14" s="28"/>
    </row>
    <row r="15" spans="1:11" ht="15.75" x14ac:dyDescent="0.25">
      <c r="A15" s="540"/>
      <c r="B15" s="540"/>
      <c r="C15" s="540"/>
      <c r="D15" s="28"/>
      <c r="E15" s="28"/>
      <c r="F15" s="28"/>
      <c r="G15" s="28"/>
      <c r="H15" s="28"/>
      <c r="I15" s="28"/>
      <c r="J15" s="28"/>
    </row>
    <row r="16" spans="1:11" ht="15.75" x14ac:dyDescent="0.25">
      <c r="A16" s="608"/>
      <c r="B16" s="608"/>
      <c r="C16" s="608"/>
      <c r="D16" s="28"/>
      <c r="E16" s="28"/>
      <c r="F16" s="28"/>
      <c r="G16" s="28"/>
      <c r="H16" s="28"/>
      <c r="I16" s="28"/>
      <c r="J16" s="28"/>
    </row>
    <row r="17" spans="1:11" ht="15.75" x14ac:dyDescent="0.25">
      <c r="A17" s="540"/>
      <c r="B17" s="540"/>
      <c r="C17" s="540"/>
      <c r="D17" s="28"/>
      <c r="E17" t="s">
        <v>324</v>
      </c>
      <c r="F17" s="28"/>
      <c r="G17" s="28"/>
      <c r="H17" s="28"/>
      <c r="I17" s="28"/>
      <c r="J17" s="28"/>
    </row>
    <row r="18" spans="1:11" ht="15.75" x14ac:dyDescent="0.25">
      <c r="A18" s="540"/>
      <c r="B18" s="540"/>
      <c r="C18" s="540"/>
      <c r="D18" s="28"/>
      <c r="E18" s="28"/>
      <c r="F18" s="28" t="s">
        <v>327</v>
      </c>
      <c r="G18" s="28"/>
      <c r="H18" s="28"/>
      <c r="I18" s="28"/>
      <c r="J18" s="28"/>
    </row>
    <row r="19" spans="1:11" ht="15.75" x14ac:dyDescent="0.25">
      <c r="A19" s="540"/>
      <c r="B19" s="540"/>
      <c r="C19" s="540"/>
      <c r="D19" s="28"/>
      <c r="E19" s="28"/>
      <c r="F19" s="28" t="s">
        <v>326</v>
      </c>
      <c r="G19" s="28"/>
      <c r="H19" s="28"/>
      <c r="I19" s="28"/>
      <c r="J19" s="28"/>
    </row>
    <row r="20" spans="1:11" ht="15.75" x14ac:dyDescent="0.25">
      <c r="A20" s="540"/>
      <c r="B20" s="540"/>
      <c r="C20" s="540"/>
      <c r="D20" s="28"/>
      <c r="E20" s="28"/>
      <c r="F20" s="544" t="s">
        <v>325</v>
      </c>
      <c r="G20" s="28"/>
      <c r="H20" s="28"/>
      <c r="I20" s="28"/>
      <c r="J20" s="28"/>
    </row>
    <row r="21" spans="1:11" ht="15.75" x14ac:dyDescent="0.25">
      <c r="A21" s="608"/>
      <c r="B21" s="608"/>
      <c r="C21" s="608"/>
      <c r="D21" s="28"/>
      <c r="E21" s="28"/>
      <c r="F21" s="28"/>
      <c r="G21" s="28"/>
      <c r="H21" s="28"/>
      <c r="I21" s="28"/>
      <c r="J21" s="28"/>
    </row>
    <row r="22" spans="1:11" ht="18.75" x14ac:dyDescent="0.3">
      <c r="A22" s="606" t="s">
        <v>7</v>
      </c>
      <c r="B22" s="606"/>
      <c r="C22" s="606"/>
      <c r="D22" s="27" t="s">
        <v>269</v>
      </c>
      <c r="E22" s="28"/>
      <c r="F22" s="28"/>
      <c r="G22" s="28"/>
      <c r="H22" s="28"/>
      <c r="I22" s="28"/>
      <c r="J22" s="28"/>
    </row>
    <row r="23" spans="1:11" ht="15.75" x14ac:dyDescent="0.25">
      <c r="A23" s="541"/>
      <c r="B23" s="541"/>
      <c r="C23" s="541"/>
      <c r="E23" s="28" t="s">
        <v>276</v>
      </c>
      <c r="F23" s="28"/>
      <c r="G23" s="28"/>
      <c r="I23" s="500" t="s">
        <v>123</v>
      </c>
      <c r="J23" s="28"/>
    </row>
    <row r="24" spans="1:11" ht="15.75" x14ac:dyDescent="0.25">
      <c r="A24" s="541"/>
      <c r="B24" s="541"/>
      <c r="C24" s="541"/>
      <c r="E24" s="28" t="s">
        <v>278</v>
      </c>
      <c r="F24" s="28"/>
      <c r="G24" s="28"/>
      <c r="I24" s="500" t="s">
        <v>124</v>
      </c>
      <c r="J24" s="28"/>
    </row>
    <row r="25" spans="1:11" ht="15.75" x14ac:dyDescent="0.25">
      <c r="A25" s="541"/>
      <c r="B25" s="541"/>
      <c r="C25" s="541"/>
      <c r="E25" s="28" t="s">
        <v>279</v>
      </c>
      <c r="F25" s="28"/>
      <c r="G25" s="28"/>
      <c r="I25" s="500" t="s">
        <v>125</v>
      </c>
      <c r="J25" s="28"/>
    </row>
    <row r="26" spans="1:11" ht="15.75" x14ac:dyDescent="0.25">
      <c r="D26" s="28"/>
      <c r="E26" s="28"/>
      <c r="F26" s="28"/>
      <c r="G26" s="28"/>
      <c r="H26" s="28"/>
      <c r="I26" s="28"/>
      <c r="J26" s="28"/>
    </row>
    <row r="27" spans="1:11" ht="18.75" x14ac:dyDescent="0.3">
      <c r="A27" s="606" t="s">
        <v>270</v>
      </c>
      <c r="B27" s="606"/>
      <c r="C27" s="606"/>
      <c r="D27" s="27" t="s">
        <v>271</v>
      </c>
      <c r="E27" s="28"/>
    </row>
    <row r="28" spans="1:11" ht="15.75" x14ac:dyDescent="0.25">
      <c r="D28" s="28" t="s">
        <v>268</v>
      </c>
      <c r="E28" s="28"/>
      <c r="F28" s="28"/>
      <c r="G28" s="28"/>
      <c r="I28" s="33" t="s">
        <v>168</v>
      </c>
    </row>
    <row r="29" spans="1:11" ht="15.75" x14ac:dyDescent="0.25">
      <c r="E29" s="28" t="s">
        <v>280</v>
      </c>
    </row>
    <row r="30" spans="1:11" ht="15.75" x14ac:dyDescent="0.25">
      <c r="D30" s="28"/>
      <c r="E30" s="518" t="s">
        <v>318</v>
      </c>
      <c r="H30" s="518"/>
      <c r="I30" s="518"/>
      <c r="J30" s="518"/>
      <c r="K30" s="518"/>
    </row>
    <row r="31" spans="1:11" ht="15.75" x14ac:dyDescent="0.25">
      <c r="D31" s="28"/>
      <c r="E31" s="518"/>
      <c r="F31" t="s">
        <v>317</v>
      </c>
      <c r="H31" s="518"/>
      <c r="I31" s="518" t="s">
        <v>328</v>
      </c>
      <c r="J31" s="518"/>
      <c r="K31" s="518"/>
    </row>
    <row r="32" spans="1:11" ht="16.5" x14ac:dyDescent="0.3">
      <c r="D32" s="28"/>
      <c r="E32" s="543" t="s">
        <v>315</v>
      </c>
      <c r="F32" s="542" t="s">
        <v>316</v>
      </c>
      <c r="H32" s="518"/>
      <c r="I32" s="518" t="s">
        <v>329</v>
      </c>
      <c r="J32" s="518"/>
      <c r="K32" s="518"/>
    </row>
    <row r="33" spans="4:11" ht="16.5" x14ac:dyDescent="0.3">
      <c r="D33" s="28"/>
      <c r="E33" s="543" t="s">
        <v>315</v>
      </c>
      <c r="F33" s="542" t="s">
        <v>330</v>
      </c>
      <c r="H33" s="518"/>
      <c r="I33" s="518"/>
      <c r="J33" s="518"/>
      <c r="K33" s="518"/>
    </row>
    <row r="34" spans="4:11" ht="15.75" x14ac:dyDescent="0.25">
      <c r="D34" s="28"/>
      <c r="E34" s="518"/>
      <c r="H34" s="518"/>
      <c r="I34" s="518"/>
      <c r="J34" s="518"/>
      <c r="K34" s="518"/>
    </row>
    <row r="35" spans="4:11" x14ac:dyDescent="0.25">
      <c r="E35" t="s">
        <v>313</v>
      </c>
      <c r="I35" s="533" t="s">
        <v>309</v>
      </c>
    </row>
    <row r="36" spans="4:11" x14ac:dyDescent="0.25">
      <c r="E36" t="s">
        <v>314</v>
      </c>
      <c r="I36" s="533" t="s">
        <v>307</v>
      </c>
    </row>
  </sheetData>
  <sheetProtection algorithmName="SHA-512" hashValue="2HpQkuNmLp3TYd8Tst/B/YK6gXpnSi1NsK7oYJaPDxKkzl42On3xoyOvMpVSrOQFgDBfLDCo3H72M/CI5qm1vw==" saltValue="wdPijs9gpy3mAW3IP2TGIg==" spinCount="100000" sheet="1" objects="1" scenarios="1"/>
  <mergeCells count="15">
    <mergeCell ref="A27:C27"/>
    <mergeCell ref="J1:K1"/>
    <mergeCell ref="A16:C16"/>
    <mergeCell ref="A21:C21"/>
    <mergeCell ref="A22:C22"/>
    <mergeCell ref="A10:C10"/>
    <mergeCell ref="A11:C11"/>
    <mergeCell ref="A12:C12"/>
    <mergeCell ref="A5:C5"/>
    <mergeCell ref="A6:C6"/>
    <mergeCell ref="A8:C8"/>
    <mergeCell ref="D4:I4"/>
    <mergeCell ref="D1:I2"/>
    <mergeCell ref="D5:I5"/>
    <mergeCell ref="D6:I6"/>
  </mergeCells>
  <hyperlinks>
    <hyperlink ref="I28" r:id="rId1" xr:uid="{168A8822-5455-4A76-9DC1-7BC85EE8DEA9}"/>
    <hyperlink ref="J1:K1" location="'Simulateur CFDT '!A1" display="Retour similateur" xr:uid="{738A42C6-A571-441A-A8A2-D2E9FC93A40E}"/>
    <hyperlink ref="I10" r:id="rId2" xr:uid="{E644D432-CA7A-4A73-9A0C-BD916FE9C433}"/>
    <hyperlink ref="F20" r:id="rId3" xr:uid="{BE84C0A9-76CB-47CE-B955-9168219A6B42}"/>
  </hyperlinks>
  <pageMargins left="0.7" right="0.7" top="0.75" bottom="0.75" header="0.3" footer="0.3"/>
  <pageSetup paperSize="9" orientation="landscape" r:id="rId4"/>
  <headerFooter>
    <oddHeader>&amp;R&amp;"Calibri"&amp;12&amp;KFF8C00CONFIDENTIAL &amp; RESTRICTED&amp;1#</oddHeader>
  </headerFooter>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73BA5-C0FE-4650-8CF9-76BB64E35E80}">
  <dimension ref="A1:AA41"/>
  <sheetViews>
    <sheetView topLeftCell="A8" zoomScale="70" zoomScaleNormal="70" workbookViewId="0">
      <selection activeCell="C34" sqref="C34"/>
    </sheetView>
  </sheetViews>
  <sheetFormatPr defaultRowHeight="15" x14ac:dyDescent="0.25"/>
  <cols>
    <col min="1" max="3" width="13.7109375" style="17" customWidth="1"/>
    <col min="4" max="4" width="14.42578125" customWidth="1"/>
    <col min="5" max="5" width="16" customWidth="1"/>
    <col min="6" max="6" width="17.42578125" customWidth="1"/>
    <col min="7" max="7" width="17.7109375" customWidth="1"/>
    <col min="8" max="8" width="12.42578125" customWidth="1"/>
    <col min="9" max="9" width="17.7109375" customWidth="1"/>
    <col min="10" max="10" width="11.140625" customWidth="1"/>
    <col min="11" max="11" width="12.42578125" customWidth="1"/>
    <col min="12" max="12" width="13.42578125" customWidth="1"/>
    <col min="13" max="13" width="13.85546875" customWidth="1"/>
    <col min="14" max="14" width="14.28515625" bestFit="1" customWidth="1"/>
    <col min="15" max="15" width="13" bestFit="1" customWidth="1"/>
    <col min="16" max="20" width="22.5703125" hidden="1" customWidth="1"/>
  </cols>
  <sheetData>
    <row r="1" spans="1:19" s="17" customFormat="1" ht="48" customHeight="1" x14ac:dyDescent="0.25">
      <c r="D1" s="642" t="s">
        <v>0</v>
      </c>
      <c r="E1" s="642"/>
      <c r="F1" s="642"/>
      <c r="G1" s="642"/>
      <c r="H1" s="642"/>
      <c r="I1" s="642"/>
      <c r="J1" s="642"/>
      <c r="K1" s="642"/>
      <c r="L1" s="642"/>
      <c r="M1" s="642"/>
      <c r="N1" s="642"/>
    </row>
    <row r="2" spans="1:19" s="17" customFormat="1" ht="21.6" customHeight="1" thickBot="1" x14ac:dyDescent="0.3">
      <c r="G2" s="31"/>
    </row>
    <row r="3" spans="1:19" s="17" customFormat="1" ht="21" customHeight="1" thickBot="1" x14ac:dyDescent="0.3">
      <c r="D3" s="374" t="s">
        <v>1</v>
      </c>
      <c r="H3" s="589" t="s">
        <v>2</v>
      </c>
      <c r="I3" s="590"/>
      <c r="N3" s="31" t="s">
        <v>3</v>
      </c>
    </row>
    <row r="4" spans="1:19" s="17" customFormat="1" ht="21" customHeight="1" x14ac:dyDescent="0.3">
      <c r="D4" s="18"/>
      <c r="E4" s="20"/>
    </row>
    <row r="5" spans="1:19" s="17" customFormat="1" ht="22.5" customHeight="1" x14ac:dyDescent="0.4">
      <c r="A5" s="545" t="s">
        <v>4</v>
      </c>
      <c r="B5" s="545"/>
      <c r="C5" s="545"/>
      <c r="D5" s="20"/>
      <c r="E5" s="373" t="s">
        <v>5</v>
      </c>
      <c r="F5" s="413" t="s">
        <v>6</v>
      </c>
      <c r="H5" s="373" t="s">
        <v>7</v>
      </c>
      <c r="I5" s="413" t="s">
        <v>17</v>
      </c>
      <c r="K5" s="373" t="s">
        <v>9</v>
      </c>
      <c r="L5" s="645" t="s">
        <v>10</v>
      </c>
      <c r="M5" s="645"/>
    </row>
    <row r="6" spans="1:19" s="17" customFormat="1" ht="21" customHeight="1" x14ac:dyDescent="0.4">
      <c r="A6" s="307"/>
      <c r="B6" s="307"/>
      <c r="C6" s="307"/>
      <c r="D6" s="20"/>
      <c r="E6" s="373"/>
      <c r="F6" s="373"/>
      <c r="H6" s="373"/>
      <c r="K6" s="373"/>
      <c r="L6" s="373"/>
      <c r="M6" s="373"/>
    </row>
    <row r="7" spans="1:19" s="17" customFormat="1" ht="12" customHeight="1" x14ac:dyDescent="0.4">
      <c r="A7" s="307"/>
      <c r="B7" s="307"/>
      <c r="C7" s="307"/>
      <c r="D7" s="20"/>
      <c r="E7" s="372"/>
      <c r="F7" s="20"/>
    </row>
    <row r="8" spans="1:19" s="17" customFormat="1" ht="19.5" customHeight="1" thickBot="1" x14ac:dyDescent="0.35">
      <c r="A8" s="643" t="s">
        <v>11</v>
      </c>
      <c r="B8" s="643"/>
      <c r="C8" s="643"/>
      <c r="D8" s="20"/>
      <c r="E8" s="643" t="s">
        <v>12</v>
      </c>
      <c r="F8" s="643"/>
      <c r="G8" s="643"/>
      <c r="I8" s="644" t="s">
        <v>13</v>
      </c>
      <c r="J8" s="644"/>
      <c r="K8" s="644"/>
    </row>
    <row r="9" spans="1:19" s="17" customFormat="1" ht="24" customHeight="1" thickBot="1" x14ac:dyDescent="0.35">
      <c r="A9" s="614">
        <f>25000/12</f>
        <v>2083.3333333333335</v>
      </c>
      <c r="B9" s="615"/>
      <c r="C9" s="616"/>
      <c r="D9" s="20"/>
      <c r="E9" s="617">
        <f>A9*12</f>
        <v>25000</v>
      </c>
      <c r="F9" s="618"/>
      <c r="G9" s="619"/>
      <c r="I9" s="620">
        <v>1500</v>
      </c>
      <c r="J9" s="621"/>
      <c r="K9" s="622"/>
    </row>
    <row r="11" spans="1:19" ht="21.75" customHeight="1" x14ac:dyDescent="0.25">
      <c r="E11" s="281"/>
      <c r="G11" s="281"/>
      <c r="H11" s="281"/>
      <c r="Q11" t="s">
        <v>14</v>
      </c>
      <c r="R11" t="s">
        <v>15</v>
      </c>
      <c r="S11" t="s">
        <v>7</v>
      </c>
    </row>
    <row r="12" spans="1:19" ht="36" customHeight="1" x14ac:dyDescent="0.25">
      <c r="A12" s="623"/>
      <c r="B12" s="623"/>
      <c r="C12" s="623"/>
      <c r="D12" s="636" t="s">
        <v>241</v>
      </c>
      <c r="E12" s="636"/>
      <c r="F12" s="636"/>
      <c r="G12" s="636"/>
      <c r="H12" s="636"/>
      <c r="I12" s="636"/>
      <c r="J12" s="636"/>
      <c r="K12" s="636"/>
      <c r="L12" s="636"/>
      <c r="M12" s="636"/>
      <c r="N12" s="636"/>
      <c r="Q12" t="s">
        <v>6</v>
      </c>
      <c r="R12" t="s">
        <v>16</v>
      </c>
      <c r="S12" t="s">
        <v>17</v>
      </c>
    </row>
    <row r="13" spans="1:19" ht="21.75" customHeight="1" x14ac:dyDescent="0.25">
      <c r="A13" s="631" t="s">
        <v>18</v>
      </c>
      <c r="B13" s="648"/>
      <c r="C13" s="632"/>
      <c r="D13" s="631" t="s">
        <v>19</v>
      </c>
      <c r="E13" s="632"/>
      <c r="F13" s="637" t="s">
        <v>20</v>
      </c>
      <c r="G13" s="638"/>
      <c r="H13" s="664" t="s">
        <v>21</v>
      </c>
      <c r="I13" s="631" t="s">
        <v>22</v>
      </c>
      <c r="J13" s="632"/>
      <c r="K13" s="639" t="s">
        <v>20</v>
      </c>
      <c r="L13" s="638"/>
      <c r="M13" s="640" t="s">
        <v>23</v>
      </c>
      <c r="N13" s="641"/>
      <c r="Q13" t="s">
        <v>24</v>
      </c>
      <c r="R13" t="s">
        <v>10</v>
      </c>
      <c r="S13" t="s">
        <v>8</v>
      </c>
    </row>
    <row r="14" spans="1:19" ht="18.75" customHeight="1" x14ac:dyDescent="0.25">
      <c r="A14" s="649"/>
      <c r="B14" s="605"/>
      <c r="C14" s="650"/>
      <c r="D14" s="177" t="s">
        <v>25</v>
      </c>
      <c r="E14" s="178" t="s">
        <v>26</v>
      </c>
      <c r="F14" s="404" t="s">
        <v>25</v>
      </c>
      <c r="G14" s="405" t="s">
        <v>26</v>
      </c>
      <c r="H14" s="665"/>
      <c r="I14" s="177" t="s">
        <v>27</v>
      </c>
      <c r="J14" s="178" t="s">
        <v>28</v>
      </c>
      <c r="K14" s="406" t="s">
        <v>27</v>
      </c>
      <c r="L14" s="407" t="s">
        <v>28</v>
      </c>
      <c r="M14" s="335" t="s">
        <v>27</v>
      </c>
      <c r="N14" s="336" t="s">
        <v>28</v>
      </c>
      <c r="S14" t="s">
        <v>29</v>
      </c>
    </row>
    <row r="15" spans="1:19" s="27" customFormat="1" ht="18.75" x14ac:dyDescent="0.3">
      <c r="A15" s="649"/>
      <c r="B15" s="605"/>
      <c r="C15" s="650"/>
      <c r="D15" s="392">
        <f>IF(F5=Q12,'Amadeus France'!M10,'Amadeus France'!D10)</f>
        <v>-49.71611</v>
      </c>
      <c r="E15" s="391">
        <f>D15*12</f>
        <v>-596.59331999999995</v>
      </c>
      <c r="F15" s="393">
        <f>'Amadeus sas'!D10</f>
        <v>-64.858936617500007</v>
      </c>
      <c r="G15" s="410">
        <f>F15*12</f>
        <v>-778.30723941000008</v>
      </c>
      <c r="H15" s="394">
        <f t="shared" ref="H15" si="0">(G15-E15)/E15</f>
        <v>0.30458591023111042</v>
      </c>
      <c r="I15" s="390">
        <f>IF(F5=Q12,'Amadeus France'!Q27,'Amadeus France'!H27)</f>
        <v>0</v>
      </c>
      <c r="J15" s="395">
        <f>IF(F5=Q12,'Amadeus France'!Q28,'Amadeus France'!H28)</f>
        <v>0</v>
      </c>
      <c r="K15" s="393">
        <f>'Amadeus sas'!H27</f>
        <v>1.6649999999999998E-2</v>
      </c>
      <c r="L15" s="396">
        <f>'Amadeus sas'!H28</f>
        <v>3.3299999999999996E-2</v>
      </c>
      <c r="M15" s="397" t="e">
        <f>(K15-I15)/I15</f>
        <v>#DIV/0!</v>
      </c>
      <c r="N15" s="394" t="e">
        <f>(L15-$J$15)/$J$15</f>
        <v>#DIV/0!</v>
      </c>
      <c r="O15" s="398"/>
      <c r="S15" t="s">
        <v>30</v>
      </c>
    </row>
    <row r="16" spans="1:19" x14ac:dyDescent="0.25">
      <c r="A16" s="284"/>
      <c r="B16" s="285"/>
      <c r="C16" s="285"/>
    </row>
    <row r="18" spans="1:27" x14ac:dyDescent="0.25">
      <c r="D18" s="627" t="s">
        <v>242</v>
      </c>
      <c r="E18" s="627"/>
      <c r="F18" s="627"/>
      <c r="G18" s="627"/>
      <c r="H18" s="627"/>
      <c r="I18" s="627"/>
      <c r="J18" s="627"/>
      <c r="K18" s="627"/>
      <c r="L18" s="627"/>
      <c r="M18" s="627"/>
      <c r="N18" s="628"/>
    </row>
    <row r="19" spans="1:27" x14ac:dyDescent="0.25">
      <c r="D19" s="629"/>
      <c r="E19" s="629"/>
      <c r="F19" s="629"/>
      <c r="G19" s="629"/>
      <c r="H19" s="629"/>
      <c r="I19" s="629"/>
      <c r="J19" s="629"/>
      <c r="K19" s="629"/>
      <c r="L19" s="629"/>
      <c r="M19" s="629"/>
      <c r="N19" s="630"/>
    </row>
    <row r="20" spans="1:27" ht="18.75" x14ac:dyDescent="0.25">
      <c r="D20" s="631" t="s">
        <v>32</v>
      </c>
      <c r="E20" s="632"/>
      <c r="F20" s="624" t="s">
        <v>33</v>
      </c>
      <c r="G20" s="625"/>
      <c r="H20" s="626"/>
      <c r="I20" s="624" t="s">
        <v>34</v>
      </c>
      <c r="J20" s="625"/>
      <c r="K20" s="626"/>
      <c r="L20" s="633" t="s">
        <v>35</v>
      </c>
      <c r="M20" s="634"/>
      <c r="N20" s="635"/>
    </row>
    <row r="21" spans="1:27" ht="15.75" x14ac:dyDescent="0.25">
      <c r="D21" s="177" t="s">
        <v>36</v>
      </c>
      <c r="E21" s="178" t="s">
        <v>37</v>
      </c>
      <c r="F21" s="174" t="s">
        <v>38</v>
      </c>
      <c r="G21" s="174" t="s">
        <v>27</v>
      </c>
      <c r="H21" s="175" t="s">
        <v>39</v>
      </c>
      <c r="I21" s="176" t="s">
        <v>38</v>
      </c>
      <c r="J21" s="174" t="s">
        <v>27</v>
      </c>
      <c r="K21" s="175" t="s">
        <v>39</v>
      </c>
      <c r="L21" s="296" t="s">
        <v>38</v>
      </c>
      <c r="M21" s="297" t="s">
        <v>27</v>
      </c>
      <c r="N21" s="298" t="s">
        <v>39</v>
      </c>
    </row>
    <row r="22" spans="1:27" ht="18.75" x14ac:dyDescent="0.25">
      <c r="A22" s="661" t="s">
        <v>18</v>
      </c>
      <c r="B22" s="662"/>
      <c r="C22" s="663"/>
      <c r="D22" s="387">
        <f>IF(F5=Q12,'Amadeus France'!L10,'Amadeus France'!C10)</f>
        <v>0</v>
      </c>
      <c r="E22" s="388">
        <f>'Amadeus France'!D10</f>
        <v>-49.71611</v>
      </c>
      <c r="F22" s="387">
        <f>IF(F5=Q12,'Amadeus France'!P18,'Amadeus France'!G18)</f>
        <v>34.619999999999997</v>
      </c>
      <c r="G22" s="387">
        <f>IF(F5=Q12,'Amadeus France'!Q18,'Amadeus France'!H18)</f>
        <v>155.63</v>
      </c>
      <c r="H22" s="388">
        <f>G22+F22</f>
        <v>190.25</v>
      </c>
      <c r="I22" s="389">
        <f>IF(F5=Q12,'Amadeus France'!P19,'Amadeus France'!G19)</f>
        <v>0</v>
      </c>
      <c r="J22" s="387">
        <f>IF(F5=Q12,'Amadeus France'!Q19,'Amadeus France'!H19)</f>
        <v>0</v>
      </c>
      <c r="K22" s="388">
        <f>J22+I22</f>
        <v>0</v>
      </c>
      <c r="L22" s="389">
        <f>IF(F5=Q12,'Amadeus France'!P27,'Amadeus France'!G27)</f>
        <v>0</v>
      </c>
      <c r="M22" s="387">
        <f>IF(F5=Q12,'Amadeus France'!Q27,'Amadeus France'!H27)</f>
        <v>0</v>
      </c>
      <c r="N22" s="388">
        <f>M22+L22</f>
        <v>0</v>
      </c>
    </row>
    <row r="23" spans="1:27" ht="18.75" x14ac:dyDescent="0.3">
      <c r="A23" s="659" t="s">
        <v>40</v>
      </c>
      <c r="B23" s="660"/>
      <c r="C23" s="660"/>
      <c r="D23" s="375">
        <f>'Amadeus sas'!C10</f>
        <v>1.8499999999999999</v>
      </c>
      <c r="E23" s="376">
        <f>'Amadeus sas'!D10</f>
        <v>-64.858936617500007</v>
      </c>
      <c r="F23" s="377">
        <f>'Amadeus sas'!G18</f>
        <v>59.512479999999996</v>
      </c>
      <c r="G23" s="377">
        <f>'Amadeus sas'!H18</f>
        <v>71.78</v>
      </c>
      <c r="H23" s="378">
        <f>G23+F23</f>
        <v>131.29248000000001</v>
      </c>
      <c r="I23" s="379">
        <f>'Amadeus sas'!G19</f>
        <v>8.602499999999999E-3</v>
      </c>
      <c r="J23" s="377">
        <f>'Amadeus sas'!H19</f>
        <v>8.602499999999999E-3</v>
      </c>
      <c r="K23" s="378">
        <f>J23+I23</f>
        <v>1.7204999999999998E-2</v>
      </c>
      <c r="L23" s="162">
        <f>'Amadeus sas'!G27</f>
        <v>1.6649999999999998E-2</v>
      </c>
      <c r="M23" s="163">
        <f>'Amadeus sas'!H27</f>
        <v>1.6649999999999998E-2</v>
      </c>
      <c r="N23" s="164">
        <f>M23+L23</f>
        <v>3.3299999999999996E-2</v>
      </c>
      <c r="AA23" s="452"/>
    </row>
    <row r="24" spans="1:27" ht="23.25" x14ac:dyDescent="0.35">
      <c r="A24" s="652" t="s">
        <v>41</v>
      </c>
      <c r="B24" s="652"/>
      <c r="C24" s="652"/>
      <c r="D24" s="182"/>
      <c r="E24" s="399">
        <f t="shared" ref="E24:N24" si="1">E23-E22</f>
        <v>-15.142826617500006</v>
      </c>
      <c r="F24" s="169">
        <f t="shared" si="1"/>
        <v>24.892479999999999</v>
      </c>
      <c r="G24" s="170">
        <f t="shared" si="1"/>
        <v>-83.85</v>
      </c>
      <c r="H24" s="165">
        <f t="shared" si="1"/>
        <v>-58.957519999999988</v>
      </c>
      <c r="I24" s="169">
        <f t="shared" si="1"/>
        <v>8.602499999999999E-3</v>
      </c>
      <c r="J24" s="170">
        <f t="shared" si="1"/>
        <v>8.602499999999999E-3</v>
      </c>
      <c r="K24" s="165">
        <f t="shared" si="1"/>
        <v>1.7204999999999998E-2</v>
      </c>
      <c r="L24" s="302">
        <f t="shared" si="1"/>
        <v>1.6649999999999998E-2</v>
      </c>
      <c r="M24" s="303">
        <f t="shared" si="1"/>
        <v>1.6649999999999998E-2</v>
      </c>
      <c r="N24" s="304">
        <f t="shared" si="1"/>
        <v>3.3299999999999996E-2</v>
      </c>
    </row>
    <row r="26" spans="1:27" x14ac:dyDescent="0.25">
      <c r="D26" s="653" t="s">
        <v>42</v>
      </c>
      <c r="E26" s="654"/>
      <c r="F26" s="654"/>
      <c r="G26" s="654"/>
      <c r="H26" s="654"/>
      <c r="I26" s="654"/>
      <c r="J26" s="654"/>
      <c r="K26" s="654"/>
      <c r="L26" s="654"/>
      <c r="M26" s="654"/>
      <c r="N26" s="655"/>
    </row>
    <row r="27" spans="1:27" x14ac:dyDescent="0.25">
      <c r="D27" s="656"/>
      <c r="E27" s="657"/>
      <c r="F27" s="657"/>
      <c r="G27" s="657"/>
      <c r="H27" s="657"/>
      <c r="I27" s="657"/>
      <c r="J27" s="657"/>
      <c r="K27" s="657"/>
      <c r="L27" s="657"/>
      <c r="M27" s="657"/>
      <c r="N27" s="658"/>
    </row>
    <row r="28" spans="1:27" ht="18.75" x14ac:dyDescent="0.25">
      <c r="D28" s="631" t="s">
        <v>32</v>
      </c>
      <c r="E28" s="632"/>
      <c r="F28" s="625" t="s">
        <v>33</v>
      </c>
      <c r="G28" s="625"/>
      <c r="H28" s="626"/>
      <c r="I28" s="624" t="s">
        <v>34</v>
      </c>
      <c r="J28" s="625"/>
      <c r="K28" s="626"/>
      <c r="L28" s="633" t="s">
        <v>35</v>
      </c>
      <c r="M28" s="634"/>
      <c r="N28" s="635"/>
      <c r="Q28" t="s">
        <v>43</v>
      </c>
    </row>
    <row r="29" spans="1:27" ht="18.75" customHeight="1" x14ac:dyDescent="0.25">
      <c r="D29" s="177" t="s">
        <v>36</v>
      </c>
      <c r="E29" s="178" t="s">
        <v>37</v>
      </c>
      <c r="F29" s="174" t="s">
        <v>38</v>
      </c>
      <c r="G29" s="174" t="s">
        <v>27</v>
      </c>
      <c r="H29" s="175" t="s">
        <v>39</v>
      </c>
      <c r="I29" s="176" t="s">
        <v>38</v>
      </c>
      <c r="J29" s="174" t="s">
        <v>27</v>
      </c>
      <c r="K29" s="175" t="s">
        <v>39</v>
      </c>
      <c r="L29" s="296" t="s">
        <v>38</v>
      </c>
      <c r="M29" s="297" t="s">
        <v>27</v>
      </c>
      <c r="N29" s="298" t="s">
        <v>39</v>
      </c>
      <c r="Q29" t="s">
        <v>44</v>
      </c>
    </row>
    <row r="30" spans="1:27" ht="23.25" x14ac:dyDescent="0.25">
      <c r="A30" s="448"/>
      <c r="B30" s="448"/>
      <c r="C30" s="449" t="s">
        <v>43</v>
      </c>
      <c r="D30" s="553" t="s">
        <v>45</v>
      </c>
      <c r="E30" s="553"/>
      <c r="F30" s="553"/>
      <c r="G30" s="553"/>
      <c r="H30" s="553"/>
      <c r="I30" s="553"/>
      <c r="J30" s="553"/>
      <c r="K30" s="553"/>
      <c r="L30" s="553"/>
      <c r="M30" s="553"/>
      <c r="N30" s="613"/>
    </row>
    <row r="31" spans="1:27" ht="15.75" customHeight="1" x14ac:dyDescent="0.3">
      <c r="A31" s="651" t="s">
        <v>46</v>
      </c>
      <c r="B31" s="651"/>
      <c r="C31" s="408">
        <f>IF(C30=Q29,0,IF(I5=S13,'Amadeus sas'!H42,'Amadeus sas'!H41))</f>
        <v>0.02</v>
      </c>
      <c r="D31" s="389">
        <f>'Amadeus sas'!C47</f>
        <v>4001.85</v>
      </c>
      <c r="E31" s="388">
        <f>'Amadeus sas'!D47</f>
        <v>3026.5719918750001</v>
      </c>
      <c r="F31" s="387">
        <f>'Amadeus sas'!G55</f>
        <v>59.512479999999996</v>
      </c>
      <c r="G31" s="387">
        <f>'Amadeus sas'!H55</f>
        <v>71.78</v>
      </c>
      <c r="H31" s="388">
        <f>G31+F31</f>
        <v>131.29248000000001</v>
      </c>
      <c r="I31" s="389">
        <f>'Amadeus sas'!G56</f>
        <v>19.383299999999998</v>
      </c>
      <c r="J31" s="387">
        <f>'Amadeus sas'!H56</f>
        <v>19.383299999999998</v>
      </c>
      <c r="K31" s="388">
        <f>J31+I31</f>
        <v>38.766599999999997</v>
      </c>
      <c r="L31" s="389">
        <f>'Amadeus sas'!G64</f>
        <v>49.215199999999996</v>
      </c>
      <c r="M31" s="387">
        <f>'Amadeus sas'!H64</f>
        <v>49.215199999999996</v>
      </c>
      <c r="N31" s="388">
        <f>M31+L31</f>
        <v>98.430399999999992</v>
      </c>
    </row>
    <row r="32" spans="1:27" ht="23.25" x14ac:dyDescent="0.35">
      <c r="A32" s="646" t="s">
        <v>41</v>
      </c>
      <c r="B32" s="646"/>
      <c r="C32" s="646"/>
      <c r="D32" s="362">
        <f t="shared" ref="D32:N32" si="2">D31-D22</f>
        <v>4001.85</v>
      </c>
      <c r="E32" s="399">
        <f t="shared" si="2"/>
        <v>3076.2881018749999</v>
      </c>
      <c r="F32" s="169">
        <f t="shared" si="2"/>
        <v>24.892479999999999</v>
      </c>
      <c r="G32" s="170">
        <f t="shared" si="2"/>
        <v>-83.85</v>
      </c>
      <c r="H32" s="165">
        <f t="shared" si="2"/>
        <v>-58.957519999999988</v>
      </c>
      <c r="I32" s="169">
        <f t="shared" si="2"/>
        <v>19.383299999999998</v>
      </c>
      <c r="J32" s="170">
        <f t="shared" si="2"/>
        <v>19.383299999999998</v>
      </c>
      <c r="K32" s="165">
        <f t="shared" si="2"/>
        <v>38.766599999999997</v>
      </c>
      <c r="L32" s="302">
        <f t="shared" si="2"/>
        <v>49.215199999999996</v>
      </c>
      <c r="M32" s="303">
        <f t="shared" si="2"/>
        <v>49.215199999999996</v>
      </c>
      <c r="N32" s="304">
        <f t="shared" si="2"/>
        <v>98.430399999999992</v>
      </c>
      <c r="O32" s="281"/>
    </row>
    <row r="33" spans="1:15" ht="23.25" x14ac:dyDescent="0.25">
      <c r="A33" s="611"/>
      <c r="B33" s="611"/>
      <c r="C33" s="612"/>
      <c r="D33" s="553" t="s">
        <v>243</v>
      </c>
      <c r="E33" s="553"/>
      <c r="F33" s="553"/>
      <c r="G33" s="553"/>
      <c r="H33" s="553"/>
      <c r="I33" s="553"/>
      <c r="J33" s="553"/>
      <c r="K33" s="553"/>
      <c r="L33" s="553"/>
      <c r="M33" s="553"/>
      <c r="N33" s="613"/>
      <c r="O33" s="281"/>
    </row>
    <row r="34" spans="1:15" ht="18.75" x14ac:dyDescent="0.3">
      <c r="A34" s="651" t="s">
        <v>47</v>
      </c>
      <c r="B34" s="651"/>
      <c r="C34" s="408">
        <f>IF(F5=Q12,IF(L5=R13,'Amadeus sas'!L40,'Amadeus sas'!L41),'Amadeus sas'!L42)</f>
        <v>3.2000000000000001E-2</v>
      </c>
      <c r="D34" s="390">
        <f>'Amadeus sas'!M47</f>
        <v>0</v>
      </c>
      <c r="E34" s="391">
        <f>'Amadeus sas'!N47</f>
        <v>-66.295689999999993</v>
      </c>
      <c r="F34" s="392">
        <f>'Amadeus sas'!Q55</f>
        <v>59.512479999999996</v>
      </c>
      <c r="G34" s="392">
        <f>'Amadeus sas'!R55</f>
        <v>71.78</v>
      </c>
      <c r="H34" s="391">
        <f>G34+F34</f>
        <v>131.29248000000001</v>
      </c>
      <c r="I34" s="392">
        <f>'Amadeus sas'!Q56</f>
        <v>0</v>
      </c>
      <c r="J34" s="392">
        <f>'Amadeus sas'!R56</f>
        <v>0</v>
      </c>
      <c r="K34" s="391">
        <f>J34+I34</f>
        <v>0</v>
      </c>
      <c r="L34" s="392">
        <f>'Amadeus sas'!Q64</f>
        <v>0</v>
      </c>
      <c r="M34" s="392">
        <f>'Amadeus sas'!R64</f>
        <v>0</v>
      </c>
      <c r="N34" s="391">
        <f>M34+L34</f>
        <v>0</v>
      </c>
    </row>
    <row r="35" spans="1:15" ht="23.25" x14ac:dyDescent="0.35">
      <c r="A35" s="646" t="s">
        <v>41</v>
      </c>
      <c r="B35" s="646"/>
      <c r="C35" s="646"/>
      <c r="D35" s="195">
        <f t="shared" ref="D35:N35" si="3">D34-D22</f>
        <v>0</v>
      </c>
      <c r="E35" s="400">
        <f t="shared" si="3"/>
        <v>-16.579579999999993</v>
      </c>
      <c r="F35" s="169">
        <f t="shared" si="3"/>
        <v>24.892479999999999</v>
      </c>
      <c r="G35" s="170">
        <f t="shared" si="3"/>
        <v>-83.85</v>
      </c>
      <c r="H35" s="165">
        <f t="shared" si="3"/>
        <v>-58.957519999999988</v>
      </c>
      <c r="I35" s="169">
        <f t="shared" si="3"/>
        <v>0</v>
      </c>
      <c r="J35" s="170">
        <f t="shared" si="3"/>
        <v>0</v>
      </c>
      <c r="K35" s="165">
        <f t="shared" si="3"/>
        <v>0</v>
      </c>
      <c r="L35" s="302">
        <f t="shared" si="3"/>
        <v>0</v>
      </c>
      <c r="M35" s="303">
        <f t="shared" si="3"/>
        <v>0</v>
      </c>
      <c r="N35" s="304">
        <f t="shared" si="3"/>
        <v>0</v>
      </c>
      <c r="O35" s="281"/>
    </row>
    <row r="36" spans="1:15" ht="23.25" x14ac:dyDescent="0.35">
      <c r="A36" s="646" t="s">
        <v>48</v>
      </c>
      <c r="B36" s="646"/>
      <c r="C36" s="646"/>
      <c r="D36" s="195"/>
      <c r="E36" s="400">
        <f>E35+M35</f>
        <v>-16.579579999999993</v>
      </c>
      <c r="F36" s="411">
        <f>E36/A9</f>
        <v>-7.9581983999999963E-3</v>
      </c>
      <c r="H36" s="281"/>
    </row>
    <row r="38" spans="1:15" ht="33.75" customHeight="1" x14ac:dyDescent="0.25">
      <c r="A38" s="647" t="s">
        <v>49</v>
      </c>
      <c r="B38" s="647"/>
      <c r="C38" s="647"/>
      <c r="D38" s="647"/>
      <c r="E38" s="647"/>
      <c r="F38" s="647"/>
      <c r="G38" s="647"/>
      <c r="H38" s="647"/>
      <c r="I38" s="647"/>
      <c r="J38" s="647"/>
      <c r="K38" s="647"/>
      <c r="L38" s="647"/>
      <c r="M38" s="647"/>
      <c r="N38" s="647"/>
    </row>
    <row r="39" spans="1:15" ht="18.75" x14ac:dyDescent="0.3">
      <c r="A39" s="651" t="s">
        <v>47</v>
      </c>
      <c r="B39" s="651"/>
      <c r="C39" s="408">
        <f>IF(F5=Q12,IF(L5=R13,'Amadeus sas'!L79,'Amadeus sas'!L80),'Amadeus sas'!L81)</f>
        <v>3.6999999999999998E-2</v>
      </c>
      <c r="D39" s="390">
        <f>'Amadeus sas'!M86</f>
        <v>1.8499999999999999</v>
      </c>
      <c r="E39" s="391">
        <f>'Amadeus sas'!N86</f>
        <v>-64.859380617500008</v>
      </c>
      <c r="F39" s="392">
        <f>'Amadeus sas'!Q95</f>
        <v>59.512479999999996</v>
      </c>
      <c r="G39" s="392">
        <f>'Amadeus sas'!R95</f>
        <v>71.78</v>
      </c>
      <c r="H39" s="391">
        <f>G39+F39</f>
        <v>131.29248000000001</v>
      </c>
      <c r="I39" s="392">
        <f>'Amadeus sas'!Q96</f>
        <v>8.602499999999999E-3</v>
      </c>
      <c r="J39" s="392">
        <f>'Amadeus sas'!R96</f>
        <v>8.602499999999999E-3</v>
      </c>
      <c r="K39" s="391">
        <f>J39+I39</f>
        <v>1.7204999999999998E-2</v>
      </c>
      <c r="L39" s="392">
        <f>'Amadeus sas'!Q104</f>
        <v>1.6649999999999998E-2</v>
      </c>
      <c r="M39" s="392">
        <f>'Amadeus sas'!R104</f>
        <v>1.6649999999999998E-2</v>
      </c>
      <c r="N39" s="391">
        <f>M39+L39</f>
        <v>3.3299999999999996E-2</v>
      </c>
    </row>
    <row r="40" spans="1:15" ht="23.25" x14ac:dyDescent="0.35">
      <c r="A40" s="646" t="s">
        <v>41</v>
      </c>
      <c r="B40" s="646"/>
      <c r="C40" s="646"/>
      <c r="D40" s="195">
        <f t="shared" ref="D40:N40" si="4">D39-D22</f>
        <v>1.8499999999999999</v>
      </c>
      <c r="E40" s="400">
        <f t="shared" si="4"/>
        <v>-15.143270617500008</v>
      </c>
      <c r="F40" s="169">
        <f t="shared" si="4"/>
        <v>24.892479999999999</v>
      </c>
      <c r="G40" s="170">
        <f t="shared" si="4"/>
        <v>-83.85</v>
      </c>
      <c r="H40" s="165">
        <f t="shared" si="4"/>
        <v>-58.957519999999988</v>
      </c>
      <c r="I40" s="169">
        <f t="shared" si="4"/>
        <v>8.602499999999999E-3</v>
      </c>
      <c r="J40" s="170">
        <f t="shared" si="4"/>
        <v>8.602499999999999E-3</v>
      </c>
      <c r="K40" s="165">
        <f t="shared" si="4"/>
        <v>1.7204999999999998E-2</v>
      </c>
      <c r="L40" s="302">
        <f t="shared" si="4"/>
        <v>1.6649999999999998E-2</v>
      </c>
      <c r="M40" s="303">
        <f t="shared" si="4"/>
        <v>1.6649999999999998E-2</v>
      </c>
      <c r="N40" s="304">
        <f t="shared" si="4"/>
        <v>3.3299999999999996E-2</v>
      </c>
    </row>
    <row r="41" spans="1:15" ht="23.25" x14ac:dyDescent="0.35">
      <c r="A41" s="646" t="s">
        <v>48</v>
      </c>
      <c r="B41" s="646"/>
      <c r="C41" s="646"/>
      <c r="D41" s="195"/>
      <c r="E41" s="400">
        <f>E40+M40</f>
        <v>-15.126620617500008</v>
      </c>
      <c r="F41" s="409">
        <f>E41/A9</f>
        <v>-7.2607778964000032E-3</v>
      </c>
    </row>
  </sheetData>
  <mergeCells count="44">
    <mergeCell ref="A40:C40"/>
    <mergeCell ref="A41:C41"/>
    <mergeCell ref="A38:N38"/>
    <mergeCell ref="A13:C15"/>
    <mergeCell ref="A36:C36"/>
    <mergeCell ref="A39:B39"/>
    <mergeCell ref="A35:C35"/>
    <mergeCell ref="A24:C24"/>
    <mergeCell ref="D26:N27"/>
    <mergeCell ref="A23:C23"/>
    <mergeCell ref="A22:C22"/>
    <mergeCell ref="L28:N28"/>
    <mergeCell ref="A31:B31"/>
    <mergeCell ref="A34:B34"/>
    <mergeCell ref="A32:C32"/>
    <mergeCell ref="H13:H14"/>
    <mergeCell ref="D1:N1"/>
    <mergeCell ref="H3:I3"/>
    <mergeCell ref="A5:C5"/>
    <mergeCell ref="A8:C8"/>
    <mergeCell ref="E8:G8"/>
    <mergeCell ref="I8:K8"/>
    <mergeCell ref="L5:M5"/>
    <mergeCell ref="D13:E13"/>
    <mergeCell ref="F13:G13"/>
    <mergeCell ref="I13:J13"/>
    <mergeCell ref="K13:L13"/>
    <mergeCell ref="M13:N13"/>
    <mergeCell ref="A33:C33"/>
    <mergeCell ref="D33:N33"/>
    <mergeCell ref="D30:N30"/>
    <mergeCell ref="A9:C9"/>
    <mergeCell ref="E9:G9"/>
    <mergeCell ref="I9:K9"/>
    <mergeCell ref="A12:C12"/>
    <mergeCell ref="I28:K28"/>
    <mergeCell ref="D18:N19"/>
    <mergeCell ref="D20:E20"/>
    <mergeCell ref="F20:H20"/>
    <mergeCell ref="I20:K20"/>
    <mergeCell ref="L20:N20"/>
    <mergeCell ref="D28:E28"/>
    <mergeCell ref="F28:H28"/>
    <mergeCell ref="D12:N12"/>
  </mergeCells>
  <conditionalFormatting sqref="H16 L16:N16">
    <cfRule type="cellIs" dxfId="25" priority="14" operator="lessThan">
      <formula>0</formula>
    </cfRule>
  </conditionalFormatting>
  <conditionalFormatting sqref="M15">
    <cfRule type="cellIs" dxfId="24" priority="9" operator="lessThan">
      <formula>0</formula>
    </cfRule>
  </conditionalFormatting>
  <conditionalFormatting sqref="L15">
    <cfRule type="cellIs" dxfId="23" priority="11" operator="lessThan">
      <formula>0</formula>
    </cfRule>
  </conditionalFormatting>
  <conditionalFormatting sqref="H15">
    <cfRule type="cellIs" dxfId="22" priority="10" operator="lessThan">
      <formula>0</formula>
    </cfRule>
  </conditionalFormatting>
  <conditionalFormatting sqref="N15">
    <cfRule type="cellIs" dxfId="21" priority="8" operator="lessThan">
      <formula>0</formula>
    </cfRule>
  </conditionalFormatting>
  <conditionalFormatting sqref="F41 F36">
    <cfRule type="cellIs" dxfId="20" priority="5" operator="lessThan">
      <formula>0</formula>
    </cfRule>
    <cfRule type="cellIs" dxfId="19" priority="6" operator="greaterThan">
      <formula>0</formula>
    </cfRule>
  </conditionalFormatting>
  <dataValidations count="4">
    <dataValidation type="list" allowBlank="1" showInputMessage="1" showErrorMessage="1" sqref="F5" xr:uid="{3A03DFAC-8B21-44C8-986D-0C29466B13BE}">
      <formula1>$Q$12:$Q$13</formula1>
    </dataValidation>
    <dataValidation type="list" allowBlank="1" showInputMessage="1" showErrorMessage="1" sqref="L5" xr:uid="{E7B6017C-1B90-433C-822E-488D37D98D38}">
      <formula1>$R$12:$R$13</formula1>
    </dataValidation>
    <dataValidation type="list" allowBlank="1" showInputMessage="1" showErrorMessage="1" sqref="I5" xr:uid="{F6275E59-BCD1-4354-9FBF-319AF9B41923}">
      <formula1>$S$12:$S$14</formula1>
    </dataValidation>
    <dataValidation type="list" allowBlank="1" showInputMessage="1" showErrorMessage="1" sqref="C30" xr:uid="{2DE101CC-2926-487F-BAD3-EBC287D428FF}">
      <formula1>$Q$28:$Q$29</formula1>
    </dataValidation>
  </dataValidations>
  <hyperlinks>
    <hyperlink ref="N3" location="HELP_FR!A1" display="HELP FR" xr:uid="{44008109-B7CF-4F20-A0DD-906064196F33}"/>
  </hyperlinks>
  <pageMargins left="0.7" right="0.7" top="0.75" bottom="0.75" header="0.3" footer="0.3"/>
  <pageSetup orientation="portrait" r:id="rId1"/>
  <headerFooter>
    <oddHeader>&amp;R&amp;"Calibri"&amp;12&amp;KFF8C00CONFIDENTIAL &amp; RESTRICTED&amp;1#</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989F-4D24-47BC-B02B-FC8922EDF069}">
  <dimension ref="A1:R118"/>
  <sheetViews>
    <sheetView topLeftCell="A2" zoomScale="80" zoomScaleNormal="80" workbookViewId="0">
      <selection activeCell="D10" sqref="D10"/>
    </sheetView>
  </sheetViews>
  <sheetFormatPr defaultColWidth="9.140625" defaultRowHeight="15" x14ac:dyDescent="0.25"/>
  <cols>
    <col min="1" max="1" width="34.28515625" style="1" customWidth="1"/>
    <col min="2" max="2" width="14.7109375" style="1" bestFit="1" customWidth="1"/>
    <col min="3" max="3" width="14.85546875" style="1" bestFit="1" customWidth="1"/>
    <col min="4" max="4" width="13.42578125" style="1" bestFit="1" customWidth="1"/>
    <col min="5" max="5" width="11.28515625" style="1" bestFit="1" customWidth="1"/>
    <col min="6" max="6" width="14.7109375" style="1" bestFit="1" customWidth="1"/>
    <col min="7" max="7" width="12.85546875" style="1" customWidth="1"/>
    <col min="8" max="8" width="14.85546875" style="1" bestFit="1" customWidth="1"/>
    <col min="9" max="9" width="13.42578125" style="1" bestFit="1" customWidth="1"/>
    <col min="10" max="10" width="4.140625" style="1" customWidth="1"/>
    <col min="11" max="11" width="13" style="1" customWidth="1"/>
    <col min="12" max="12" width="16" style="1" customWidth="1"/>
    <col min="13" max="13" width="17.140625" style="1" customWidth="1"/>
    <col min="14" max="14" width="9.140625" style="1"/>
    <col min="15" max="15" width="10.85546875" style="1" customWidth="1"/>
    <col min="16" max="16" width="12.7109375" style="1" customWidth="1"/>
    <col min="17" max="17" width="13.5703125" style="1" customWidth="1"/>
    <col min="18" max="16384" width="9.140625" style="1"/>
  </cols>
  <sheetData>
    <row r="1" spans="1:17" x14ac:dyDescent="0.25">
      <c r="A1" s="16" t="s">
        <v>50</v>
      </c>
      <c r="B1" s="15">
        <v>82272</v>
      </c>
      <c r="D1" s="37" t="s">
        <v>51</v>
      </c>
      <c r="E1" s="15">
        <v>3428</v>
      </c>
      <c r="F1" s="37" t="s">
        <v>52</v>
      </c>
      <c r="G1" s="15">
        <v>13712</v>
      </c>
      <c r="H1" s="37" t="s">
        <v>53</v>
      </c>
      <c r="I1" s="35">
        <v>0.98250000000000004</v>
      </c>
      <c r="J1" s="35"/>
    </row>
    <row r="2" spans="1:17" x14ac:dyDescent="0.25">
      <c r="A2" s="16"/>
      <c r="B2" s="15"/>
      <c r="D2" s="384" t="s">
        <v>33</v>
      </c>
      <c r="E2" s="385" t="s">
        <v>54</v>
      </c>
      <c r="F2" s="37"/>
      <c r="G2" s="15"/>
      <c r="H2" s="37"/>
      <c r="I2" s="35"/>
      <c r="J2" s="35"/>
    </row>
    <row r="3" spans="1:17" x14ac:dyDescent="0.25">
      <c r="A3" s="16"/>
      <c r="B3" s="15"/>
      <c r="C3" s="382" t="s">
        <v>16</v>
      </c>
      <c r="D3" s="383">
        <v>34.619999999999997</v>
      </c>
      <c r="E3" s="386">
        <v>0</v>
      </c>
      <c r="F3" s="383">
        <v>155.63</v>
      </c>
      <c r="G3" s="15">
        <f>F3+D3</f>
        <v>190.25</v>
      </c>
      <c r="H3" s="536">
        <f>G4/G3</f>
        <v>0.79274638633377137</v>
      </c>
      <c r="I3" s="35"/>
      <c r="J3" s="35"/>
    </row>
    <row r="4" spans="1:17" x14ac:dyDescent="0.25">
      <c r="A4" s="16"/>
      <c r="B4" s="15"/>
      <c r="C4" s="382" t="s">
        <v>10</v>
      </c>
      <c r="D4" s="383">
        <v>27.77</v>
      </c>
      <c r="E4" s="386">
        <v>1.4999999999999999E-2</v>
      </c>
      <c r="F4" s="383">
        <f>F3-32.58</f>
        <v>123.05</v>
      </c>
      <c r="G4" s="15">
        <f>F4+D4</f>
        <v>150.82</v>
      </c>
      <c r="H4" s="536">
        <f>D4/D3</f>
        <v>0.80213749277874069</v>
      </c>
      <c r="I4" s="35"/>
      <c r="J4" s="35"/>
    </row>
    <row r="5" spans="1:17" x14ac:dyDescent="0.25">
      <c r="A5" s="61"/>
      <c r="B5" s="62"/>
      <c r="F5" s="16"/>
      <c r="H5" s="15"/>
    </row>
    <row r="6" spans="1:17" ht="18" x14ac:dyDescent="0.25">
      <c r="A6" s="74" t="s">
        <v>55</v>
      </c>
      <c r="B6" s="75"/>
      <c r="C6" s="666" t="s">
        <v>24</v>
      </c>
      <c r="D6" s="666"/>
      <c r="E6" s="666"/>
      <c r="F6" s="667"/>
      <c r="K6" s="676" t="s">
        <v>6</v>
      </c>
      <c r="L6" s="676"/>
      <c r="M6" s="676"/>
      <c r="N6" s="676"/>
      <c r="O6" s="676"/>
    </row>
    <row r="7" spans="1:17" x14ac:dyDescent="0.25">
      <c r="A7" s="149"/>
      <c r="B7" s="668" t="s">
        <v>56</v>
      </c>
      <c r="C7" s="669"/>
      <c r="D7" s="669"/>
      <c r="E7" s="127"/>
      <c r="F7" s="128"/>
      <c r="K7" s="668" t="s">
        <v>56</v>
      </c>
      <c r="L7" s="669"/>
      <c r="M7" s="669"/>
      <c r="N7" s="127"/>
      <c r="O7" s="128"/>
    </row>
    <row r="8" spans="1:17" x14ac:dyDescent="0.25">
      <c r="A8" s="139"/>
      <c r="B8" s="670" t="s">
        <v>57</v>
      </c>
      <c r="C8" s="671"/>
      <c r="D8" s="671"/>
      <c r="E8" s="129">
        <v>1</v>
      </c>
      <c r="F8" s="130" t="s">
        <v>58</v>
      </c>
      <c r="G8" s="672" t="s">
        <v>59</v>
      </c>
      <c r="H8" s="673"/>
      <c r="K8" s="670" t="s">
        <v>57</v>
      </c>
      <c r="L8" s="671"/>
      <c r="M8" s="671"/>
      <c r="N8" s="129">
        <v>1</v>
      </c>
      <c r="O8" s="130" t="s">
        <v>58</v>
      </c>
      <c r="P8" s="672" t="s">
        <v>59</v>
      </c>
      <c r="Q8" s="673"/>
    </row>
    <row r="9" spans="1:17" x14ac:dyDescent="0.25">
      <c r="A9" s="139"/>
      <c r="B9" s="131" t="s">
        <v>60</v>
      </c>
      <c r="C9" s="132" t="s">
        <v>61</v>
      </c>
      <c r="D9" s="132" t="s">
        <v>62</v>
      </c>
      <c r="E9" s="674" t="s">
        <v>63</v>
      </c>
      <c r="F9" s="675"/>
      <c r="G9" s="120" t="s">
        <v>38</v>
      </c>
      <c r="H9" s="64" t="s">
        <v>27</v>
      </c>
      <c r="K9" s="131" t="s">
        <v>60</v>
      </c>
      <c r="L9" s="132" t="s">
        <v>61</v>
      </c>
      <c r="M9" s="132" t="s">
        <v>62</v>
      </c>
      <c r="N9" s="674" t="s">
        <v>63</v>
      </c>
      <c r="O9" s="675"/>
      <c r="P9" s="120" t="s">
        <v>38</v>
      </c>
      <c r="Q9" s="64" t="s">
        <v>27</v>
      </c>
    </row>
    <row r="10" spans="1:17" ht="18.75" x14ac:dyDescent="0.3">
      <c r="A10" s="139"/>
      <c r="B10" s="133"/>
      <c r="C10" s="134">
        <f>IF('Simulateur CFDT '!D13='Simulateur CFDT '!P27,C11+C12,C11)</f>
        <v>0</v>
      </c>
      <c r="D10" s="135">
        <f>IF('Simulateur CFDT '!D13='Simulateur CFDT '!P27,C10-G10,C10-G10+C12)</f>
        <v>-49.71611</v>
      </c>
      <c r="E10" s="136"/>
      <c r="F10" s="137">
        <f>SUM(F14:F39)</f>
        <v>155.63</v>
      </c>
      <c r="G10" s="121">
        <f>G16+G23+G37</f>
        <v>49.71611</v>
      </c>
      <c r="H10" s="65">
        <f>F10</f>
        <v>155.63</v>
      </c>
      <c r="K10" s="133"/>
      <c r="L10" s="134">
        <f>C10</f>
        <v>0</v>
      </c>
      <c r="M10" s="135">
        <f>IF('Simulateur CFDT '!D13='Simulateur CFDT '!P27,L10-P10,L10-P10+C12)</f>
        <v>-49.71611</v>
      </c>
      <c r="N10" s="136"/>
      <c r="O10" s="137">
        <f>SUM(O14:O39)</f>
        <v>155.63</v>
      </c>
      <c r="P10" s="121">
        <f>P16+P23+P37</f>
        <v>49.71611</v>
      </c>
      <c r="Q10" s="65">
        <f>O10</f>
        <v>155.63</v>
      </c>
    </row>
    <row r="11" spans="1:17" ht="15.75" x14ac:dyDescent="0.25">
      <c r="A11" s="150" t="s">
        <v>64</v>
      </c>
      <c r="B11" s="133"/>
      <c r="C11" s="103" cm="1">
        <f t="array" ref="C11:D11">'Simulateur CFDT '!G12:H12</f>
        <v>0</v>
      </c>
      <c r="D11" s="138">
        <v>0</v>
      </c>
      <c r="E11" s="136"/>
      <c r="F11" s="137"/>
      <c r="G11" s="122" t="e">
        <f>G10/C10</f>
        <v>#DIV/0!</v>
      </c>
      <c r="H11" s="67" t="e">
        <f>H10/C10</f>
        <v>#DIV/0!</v>
      </c>
      <c r="K11" s="133"/>
      <c r="L11" s="138"/>
      <c r="M11" s="138"/>
      <c r="N11" s="136"/>
      <c r="O11" s="137"/>
      <c r="P11" s="122" t="e">
        <f>P10/L10</f>
        <v>#DIV/0!</v>
      </c>
      <c r="Q11" s="67" t="e">
        <f>Q10/L10</f>
        <v>#DIV/0!</v>
      </c>
    </row>
    <row r="12" spans="1:17" ht="15.75" x14ac:dyDescent="0.25">
      <c r="A12" s="151" t="s">
        <v>274</v>
      </c>
      <c r="B12" s="133"/>
      <c r="C12" s="80">
        <f>IF('Simulateur CFDT '!D13='Simulateur CFDT '!P26,0,'Simulateur CFDT '!G13)</f>
        <v>0</v>
      </c>
      <c r="D12" s="138"/>
      <c r="E12" s="136"/>
      <c r="F12" s="137"/>
      <c r="K12" s="133"/>
      <c r="L12" s="138"/>
      <c r="M12" s="138"/>
      <c r="N12" s="136"/>
      <c r="O12" s="137"/>
    </row>
    <row r="13" spans="1:17" x14ac:dyDescent="0.25">
      <c r="A13" s="150" t="s">
        <v>66</v>
      </c>
      <c r="B13" s="139"/>
      <c r="C13" s="118">
        <v>100</v>
      </c>
      <c r="D13" s="118"/>
      <c r="E13" s="118"/>
      <c r="F13" s="69"/>
      <c r="K13" s="139"/>
      <c r="L13" s="118"/>
      <c r="M13" s="118"/>
      <c r="N13" s="118"/>
      <c r="O13" s="69"/>
    </row>
    <row r="14" spans="1:17" x14ac:dyDescent="0.25">
      <c r="A14" s="86" t="s">
        <v>67</v>
      </c>
      <c r="B14" s="140"/>
      <c r="C14" s="88"/>
      <c r="D14" s="88"/>
      <c r="E14" s="89"/>
      <c r="F14" s="90"/>
      <c r="G14" s="672" t="s">
        <v>68</v>
      </c>
      <c r="H14" s="673"/>
      <c r="K14" s="140"/>
      <c r="L14" s="88"/>
      <c r="M14" s="88"/>
      <c r="N14" s="89"/>
      <c r="O14" s="90"/>
      <c r="P14" s="672" t="s">
        <v>68</v>
      </c>
      <c r="Q14" s="673"/>
    </row>
    <row r="15" spans="1:17" x14ac:dyDescent="0.25">
      <c r="A15" s="56" t="s">
        <v>33</v>
      </c>
      <c r="B15" s="141">
        <f>E1</f>
        <v>3428</v>
      </c>
      <c r="C15" s="49">
        <v>1.01E-2</v>
      </c>
      <c r="D15" s="58">
        <f>IF('Simulateur CFDT '!I9='Simulateur CFDT '!Q19,D3,D4)</f>
        <v>34.619999999999997</v>
      </c>
      <c r="E15" s="113">
        <v>4.5400000000000003E-2</v>
      </c>
      <c r="F15" s="82">
        <f>IF('Simulateur CFDT '!I9='Simulateur CFDT '!Q19,F3,F4)</f>
        <v>155.63</v>
      </c>
      <c r="G15" s="120" t="s">
        <v>38</v>
      </c>
      <c r="H15" s="64" t="s">
        <v>27</v>
      </c>
      <c r="I15" s="34"/>
      <c r="J15" s="34"/>
      <c r="K15" s="141">
        <f>E1</f>
        <v>3428</v>
      </c>
      <c r="L15" s="49">
        <v>1.01E-2</v>
      </c>
      <c r="M15" s="58">
        <f>D15</f>
        <v>34.619999999999997</v>
      </c>
      <c r="N15" s="113">
        <v>4.5920000000000002E-2</v>
      </c>
      <c r="O15" s="82">
        <f>IF('Simulateur CFDT '!I9='Simulateur CFDT '!Q19,F3,F4)</f>
        <v>155.63</v>
      </c>
      <c r="P15" s="120" t="s">
        <v>38</v>
      </c>
      <c r="Q15" s="64" t="s">
        <v>27</v>
      </c>
    </row>
    <row r="16" spans="1:17" x14ac:dyDescent="0.25">
      <c r="A16" s="104" t="s">
        <v>69</v>
      </c>
      <c r="B16" s="142">
        <f>E1</f>
        <v>3428</v>
      </c>
      <c r="C16" s="105">
        <v>0</v>
      </c>
      <c r="D16" s="106">
        <f>C16*B16</f>
        <v>0</v>
      </c>
      <c r="E16" s="107">
        <v>0</v>
      </c>
      <c r="F16" s="108">
        <f>E16*B16</f>
        <v>0</v>
      </c>
      <c r="G16" s="123">
        <f>D15+D16+D17+D18+D27+D28+D29</f>
        <v>34.619999999999997</v>
      </c>
      <c r="H16" s="114">
        <f>F15+F17+F18+F27+F28+F29</f>
        <v>155.63</v>
      </c>
      <c r="I16" s="34"/>
      <c r="J16" s="34"/>
      <c r="K16" s="142">
        <f>E1</f>
        <v>3428</v>
      </c>
      <c r="L16" s="105">
        <v>0</v>
      </c>
      <c r="M16" s="106">
        <f>L16*K16</f>
        <v>0</v>
      </c>
      <c r="N16" s="107">
        <v>0</v>
      </c>
      <c r="O16" s="108">
        <f>N16*K16</f>
        <v>0</v>
      </c>
      <c r="P16" s="123">
        <f>M15+M16+M17+M18+M27+M28+M29</f>
        <v>34.619999999999997</v>
      </c>
      <c r="Q16" s="114">
        <f>O15+O17+O18+O27+O28+O29</f>
        <v>155.63</v>
      </c>
    </row>
    <row r="17" spans="1:18" x14ac:dyDescent="0.25">
      <c r="A17" s="56" t="s">
        <v>70</v>
      </c>
      <c r="B17" s="141">
        <f>IF(C10&gt;$E$1,$E$1, C10)</f>
        <v>0</v>
      </c>
      <c r="C17" s="49">
        <v>1.6999999999999999E-3</v>
      </c>
      <c r="D17" s="58">
        <f>C17*B17</f>
        <v>0</v>
      </c>
      <c r="E17" s="50">
        <v>8.3000000000000001E-3</v>
      </c>
      <c r="F17" s="82">
        <f>E17*B17</f>
        <v>0</v>
      </c>
      <c r="G17" s="148" t="e">
        <f>G16/C10</f>
        <v>#DIV/0!</v>
      </c>
      <c r="H17" s="117" t="e">
        <f>H16/C10</f>
        <v>#DIV/0!</v>
      </c>
      <c r="K17" s="141">
        <f>IF(L10&gt;$E$1,$E$1, L10)</f>
        <v>0</v>
      </c>
      <c r="L17" s="49">
        <v>1.6999999999999999E-3</v>
      </c>
      <c r="M17" s="58">
        <f>L17*K17</f>
        <v>0</v>
      </c>
      <c r="N17" s="50">
        <v>8.3000000000000001E-3</v>
      </c>
      <c r="O17" s="82">
        <f>N17*K17</f>
        <v>0</v>
      </c>
      <c r="P17" s="124" t="e">
        <f>P16/L10</f>
        <v>#DIV/0!</v>
      </c>
      <c r="Q17" s="67" t="e">
        <f>Q16/L10</f>
        <v>#DIV/0!</v>
      </c>
    </row>
    <row r="18" spans="1:18" x14ac:dyDescent="0.25">
      <c r="A18" s="56" t="s">
        <v>71</v>
      </c>
      <c r="B18" s="141">
        <f>IF((B19-B17)&lt;0,0,IF((B19-B17)&lt;$G$1,B19-B17,$G$1))</f>
        <v>0</v>
      </c>
      <c r="C18" s="49">
        <v>6.0000000000000001E-3</v>
      </c>
      <c r="D18" s="58">
        <f>C18*B18</f>
        <v>0</v>
      </c>
      <c r="E18" s="50">
        <v>6.0000000000000001E-3</v>
      </c>
      <c r="F18" s="82">
        <f t="shared" ref="F18" si="0">E18*B18</f>
        <v>0</v>
      </c>
      <c r="G18" s="158">
        <f>D15+D16</f>
        <v>34.619999999999997</v>
      </c>
      <c r="H18" s="154">
        <f>F15+F16</f>
        <v>155.63</v>
      </c>
      <c r="I18" s="1" t="s">
        <v>33</v>
      </c>
      <c r="K18" s="141">
        <f>IF((K19-K17)&lt;0,0,IF((K19-K17)&lt;$G$1,K19-K17,$G$1))</f>
        <v>0</v>
      </c>
      <c r="L18" s="49">
        <v>6.0000000000000001E-3</v>
      </c>
      <c r="M18" s="58">
        <f>L18*K18</f>
        <v>0</v>
      </c>
      <c r="N18" s="50">
        <v>6.0000000000000001E-3</v>
      </c>
      <c r="O18" s="82">
        <f t="shared" ref="O18" si="1">N18*K18</f>
        <v>0</v>
      </c>
      <c r="P18" s="158">
        <f>M15+M16</f>
        <v>34.619999999999997</v>
      </c>
      <c r="Q18" s="154">
        <f>O15+O16</f>
        <v>155.63</v>
      </c>
      <c r="R18" s="1" t="s">
        <v>33</v>
      </c>
    </row>
    <row r="19" spans="1:18" x14ac:dyDescent="0.25">
      <c r="A19" s="46" t="s">
        <v>72</v>
      </c>
      <c r="B19" s="184">
        <f>C10</f>
        <v>0</v>
      </c>
      <c r="C19" s="76"/>
      <c r="D19" s="52"/>
      <c r="E19" s="54">
        <v>0.12999901640594699</v>
      </c>
      <c r="F19" s="55">
        <f>E19*B19</f>
        <v>0</v>
      </c>
      <c r="G19" s="159">
        <f>D17+D18</f>
        <v>0</v>
      </c>
      <c r="H19" s="160">
        <f>F17+F18</f>
        <v>0</v>
      </c>
      <c r="I19" s="1" t="s">
        <v>34</v>
      </c>
      <c r="K19" s="184">
        <f>L10+L12</f>
        <v>0</v>
      </c>
      <c r="L19" s="76"/>
      <c r="M19" s="52"/>
      <c r="N19" s="54">
        <v>0.12999901640594699</v>
      </c>
      <c r="O19" s="55">
        <f>N19*K19</f>
        <v>0</v>
      </c>
      <c r="P19" s="159">
        <f>M17+M18</f>
        <v>0</v>
      </c>
      <c r="Q19" s="160">
        <f>O17+O18</f>
        <v>0</v>
      </c>
      <c r="R19" s="1" t="s">
        <v>34</v>
      </c>
    </row>
    <row r="20" spans="1:18" x14ac:dyDescent="0.25">
      <c r="A20" s="79" t="s">
        <v>73</v>
      </c>
      <c r="B20" s="143">
        <f>B19</f>
        <v>0</v>
      </c>
      <c r="C20" s="43"/>
      <c r="D20" s="43"/>
      <c r="E20" s="44">
        <v>7.7000000000000002E-3</v>
      </c>
      <c r="F20" s="45">
        <f>E20*B20</f>
        <v>0</v>
      </c>
      <c r="K20" s="143">
        <f>K19</f>
        <v>0</v>
      </c>
      <c r="L20" s="43"/>
      <c r="M20" s="43"/>
      <c r="N20" s="44">
        <v>7.7000000000000002E-3</v>
      </c>
      <c r="O20" s="45">
        <f>N20*K20</f>
        <v>0</v>
      </c>
    </row>
    <row r="21" spans="1:18" x14ac:dyDescent="0.25">
      <c r="A21" s="86" t="s">
        <v>74</v>
      </c>
      <c r="B21" s="140"/>
      <c r="C21" s="88"/>
      <c r="D21" s="88"/>
      <c r="E21" s="89"/>
      <c r="F21" s="90"/>
      <c r="G21" s="672" t="s">
        <v>75</v>
      </c>
      <c r="H21" s="673"/>
      <c r="K21" s="140"/>
      <c r="L21" s="88"/>
      <c r="M21" s="88"/>
      <c r="N21" s="89"/>
      <c r="O21" s="90"/>
      <c r="P21" s="672" t="s">
        <v>75</v>
      </c>
      <c r="Q21" s="673"/>
    </row>
    <row r="22" spans="1:18" x14ac:dyDescent="0.25">
      <c r="A22" s="91" t="s">
        <v>76</v>
      </c>
      <c r="B22" s="206">
        <f>B17</f>
        <v>0</v>
      </c>
      <c r="C22" s="93">
        <v>6.9000000000000006E-2</v>
      </c>
      <c r="D22" s="92">
        <f t="shared" ref="D22:D29" si="2">C22*B22</f>
        <v>0</v>
      </c>
      <c r="E22" s="94">
        <v>8.5498833138856464E-2</v>
      </c>
      <c r="F22" s="95">
        <f t="shared" ref="F22:F23" si="3">E22*B22</f>
        <v>0</v>
      </c>
      <c r="G22" s="120" t="s">
        <v>38</v>
      </c>
      <c r="H22" s="64" t="s">
        <v>27</v>
      </c>
      <c r="K22" s="206">
        <f>K17</f>
        <v>0</v>
      </c>
      <c r="L22" s="93">
        <v>6.9000000000000006E-2</v>
      </c>
      <c r="M22" s="92">
        <f t="shared" ref="M22:M29" si="4">L22*K22</f>
        <v>0</v>
      </c>
      <c r="N22" s="94">
        <v>8.5498833138856464E-2</v>
      </c>
      <c r="O22" s="95">
        <f t="shared" ref="O22:O23" si="5">N22*K22</f>
        <v>0</v>
      </c>
      <c r="P22" s="120" t="s">
        <v>38</v>
      </c>
      <c r="Q22" s="64" t="s">
        <v>27</v>
      </c>
    </row>
    <row r="23" spans="1:18" x14ac:dyDescent="0.25">
      <c r="A23" s="47" t="s">
        <v>77</v>
      </c>
      <c r="B23" s="145">
        <f>B19</f>
        <v>0</v>
      </c>
      <c r="C23" s="85">
        <v>4.0000000000000001E-3</v>
      </c>
      <c r="D23" s="84">
        <f t="shared" si="2"/>
        <v>0</v>
      </c>
      <c r="E23" s="50">
        <v>1.899942389491201E-2</v>
      </c>
      <c r="F23" s="51">
        <f t="shared" si="3"/>
        <v>0</v>
      </c>
      <c r="G23" s="123">
        <f>D22+D23+D24+D25+D26+D32+D33</f>
        <v>0</v>
      </c>
      <c r="H23" s="65"/>
      <c r="K23" s="145">
        <f>K19</f>
        <v>0</v>
      </c>
      <c r="L23" s="85">
        <v>4.0000000000000001E-3</v>
      </c>
      <c r="M23" s="84">
        <f t="shared" si="4"/>
        <v>0</v>
      </c>
      <c r="N23" s="50">
        <v>1.899942389491201E-2</v>
      </c>
      <c r="O23" s="51">
        <f t="shared" si="5"/>
        <v>0</v>
      </c>
      <c r="P23" s="123">
        <f>M22+M23+M24+M25+M26+M32+M33</f>
        <v>0</v>
      </c>
      <c r="Q23" s="65"/>
    </row>
    <row r="24" spans="1:18" x14ac:dyDescent="0.25">
      <c r="A24" s="47" t="s">
        <v>78</v>
      </c>
      <c r="B24" s="141">
        <f>B22</f>
        <v>0</v>
      </c>
      <c r="C24" s="49">
        <v>4.0099999999999997E-2</v>
      </c>
      <c r="D24" s="48">
        <f t="shared" si="2"/>
        <v>0</v>
      </c>
      <c r="E24" s="50">
        <v>6.0099183197199535E-2</v>
      </c>
      <c r="F24" s="51">
        <f>E24*B24</f>
        <v>0</v>
      </c>
      <c r="G24" s="124" t="e">
        <f>G23/C10</f>
        <v>#DIV/0!</v>
      </c>
      <c r="H24" s="67"/>
      <c r="J24" s="148"/>
      <c r="K24" s="141">
        <f>K22</f>
        <v>0</v>
      </c>
      <c r="L24" s="49">
        <v>4.0099999999999997E-2</v>
      </c>
      <c r="M24" s="48">
        <f t="shared" si="4"/>
        <v>0</v>
      </c>
      <c r="N24" s="50">
        <v>6.0099183197199535E-2</v>
      </c>
      <c r="O24" s="51">
        <f>N24*K24</f>
        <v>0</v>
      </c>
      <c r="P24" s="124" t="e">
        <f>P23/L10</f>
        <v>#DIV/0!</v>
      </c>
      <c r="Q24" s="67"/>
    </row>
    <row r="25" spans="1:18" x14ac:dyDescent="0.25">
      <c r="A25" s="47" t="s">
        <v>79</v>
      </c>
      <c r="B25" s="141">
        <f>B18</f>
        <v>0</v>
      </c>
      <c r="C25" s="49">
        <v>9.7199999999999995E-2</v>
      </c>
      <c r="D25" s="48">
        <f t="shared" si="2"/>
        <v>0</v>
      </c>
      <c r="E25" s="50">
        <v>0.145705</v>
      </c>
      <c r="F25" s="51">
        <f>E25*B25</f>
        <v>0</v>
      </c>
      <c r="K25" s="141">
        <f>K18</f>
        <v>0</v>
      </c>
      <c r="L25" s="49">
        <v>9.7199999999999995E-2</v>
      </c>
      <c r="M25" s="48">
        <f t="shared" si="4"/>
        <v>0</v>
      </c>
      <c r="N25" s="50">
        <v>0.145705</v>
      </c>
      <c r="O25" s="51">
        <f>N25*K25</f>
        <v>0</v>
      </c>
    </row>
    <row r="26" spans="1:18" x14ac:dyDescent="0.25">
      <c r="A26" s="81" t="s">
        <v>80</v>
      </c>
      <c r="B26" s="141">
        <f>IF(B25=0,0,B23)</f>
        <v>0</v>
      </c>
      <c r="C26" s="49">
        <v>1.4E-3</v>
      </c>
      <c r="D26" s="48">
        <f t="shared" si="2"/>
        <v>0</v>
      </c>
      <c r="E26" s="50">
        <v>2.0996722022269378E-3</v>
      </c>
      <c r="F26" s="51">
        <f>E26*B26</f>
        <v>0</v>
      </c>
      <c r="G26" s="49">
        <v>1.4E-3</v>
      </c>
      <c r="H26" s="50">
        <v>2.0996722022269378E-3</v>
      </c>
      <c r="K26" s="141">
        <f>IF(K25=0,0,K23)</f>
        <v>0</v>
      </c>
      <c r="L26" s="49">
        <v>1.4E-3</v>
      </c>
      <c r="M26" s="48">
        <f t="shared" si="4"/>
        <v>0</v>
      </c>
      <c r="N26" s="50">
        <v>2.0996722022269378E-3</v>
      </c>
      <c r="O26" s="51">
        <f t="shared" ref="O26:O29" si="6">N26*K26</f>
        <v>0</v>
      </c>
    </row>
    <row r="27" spans="1:18" x14ac:dyDescent="0.25">
      <c r="A27" s="56" t="s">
        <v>81</v>
      </c>
      <c r="B27" s="141">
        <f>B24</f>
        <v>0</v>
      </c>
      <c r="C27" s="49">
        <v>0.01</v>
      </c>
      <c r="D27" s="59">
        <f t="shared" si="2"/>
        <v>0</v>
      </c>
      <c r="E27" s="50">
        <v>0.05</v>
      </c>
      <c r="F27" s="82">
        <f t="shared" ref="F27:F29" si="7">E27*B27</f>
        <v>0</v>
      </c>
      <c r="G27" s="153">
        <f>D27+D28+D29</f>
        <v>0</v>
      </c>
      <c r="H27" s="154">
        <f>F27+F28+F29</f>
        <v>0</v>
      </c>
      <c r="I27" s="1" t="s">
        <v>35</v>
      </c>
      <c r="K27" s="141">
        <f>K24</f>
        <v>0</v>
      </c>
      <c r="L27" s="49">
        <v>0</v>
      </c>
      <c r="M27" s="59">
        <f t="shared" si="4"/>
        <v>0</v>
      </c>
      <c r="N27" s="50">
        <v>0.05</v>
      </c>
      <c r="O27" s="82">
        <f t="shared" si="6"/>
        <v>0</v>
      </c>
      <c r="P27" s="153">
        <f>M27+M28+M29</f>
        <v>0</v>
      </c>
      <c r="Q27" s="154">
        <f>O27+O28+O29</f>
        <v>0</v>
      </c>
      <c r="R27" s="1" t="s">
        <v>35</v>
      </c>
    </row>
    <row r="28" spans="1:18" x14ac:dyDescent="0.25">
      <c r="A28" s="56" t="s">
        <v>82</v>
      </c>
      <c r="B28" s="141">
        <f>B18</f>
        <v>0</v>
      </c>
      <c r="C28" s="49">
        <v>0.01</v>
      </c>
      <c r="D28" s="59">
        <f t="shared" si="2"/>
        <v>0</v>
      </c>
      <c r="E28" s="50">
        <v>0.05</v>
      </c>
      <c r="F28" s="82">
        <f t="shared" si="7"/>
        <v>0</v>
      </c>
      <c r="G28" s="125"/>
      <c r="H28" s="119">
        <f>G27+H27</f>
        <v>0</v>
      </c>
      <c r="K28" s="141">
        <f>K18</f>
        <v>0</v>
      </c>
      <c r="L28" s="49">
        <v>0</v>
      </c>
      <c r="M28" s="59">
        <f t="shared" si="4"/>
        <v>0</v>
      </c>
      <c r="N28" s="50">
        <v>0.05</v>
      </c>
      <c r="O28" s="82">
        <f t="shared" si="6"/>
        <v>0</v>
      </c>
      <c r="P28" s="125"/>
      <c r="Q28" s="119">
        <f>P27+Q27</f>
        <v>0</v>
      </c>
    </row>
    <row r="29" spans="1:18" x14ac:dyDescent="0.25">
      <c r="A29" s="57" t="s">
        <v>83</v>
      </c>
      <c r="B29" s="146">
        <f>IF($G$1=B28, B19-B18-B17, 0 )</f>
        <v>0</v>
      </c>
      <c r="C29" s="53">
        <v>0.01</v>
      </c>
      <c r="D29" s="60">
        <f t="shared" si="2"/>
        <v>0</v>
      </c>
      <c r="E29" s="54">
        <v>0.05</v>
      </c>
      <c r="F29" s="83">
        <f t="shared" si="7"/>
        <v>0</v>
      </c>
      <c r="H29" s="34"/>
      <c r="K29" s="146">
        <f>IF($G$1=K28, K19-K18-K17, 0 )</f>
        <v>0</v>
      </c>
      <c r="L29" s="53">
        <v>0</v>
      </c>
      <c r="M29" s="60">
        <f t="shared" si="4"/>
        <v>0</v>
      </c>
      <c r="N29" s="54">
        <v>0.05</v>
      </c>
      <c r="O29" s="83">
        <f t="shared" si="6"/>
        <v>0</v>
      </c>
      <c r="Q29" s="34"/>
    </row>
    <row r="30" spans="1:18" x14ac:dyDescent="0.25">
      <c r="A30" s="79" t="s">
        <v>84</v>
      </c>
      <c r="B30" s="143">
        <f>B19</f>
        <v>0</v>
      </c>
      <c r="C30" s="43"/>
      <c r="D30" s="43"/>
      <c r="E30" s="44">
        <v>5.2499999999999998E-2</v>
      </c>
      <c r="F30" s="45">
        <f>E30*B30</f>
        <v>0</v>
      </c>
      <c r="H30" s="34"/>
      <c r="K30" s="143">
        <f>K19</f>
        <v>0</v>
      </c>
      <c r="L30" s="43"/>
      <c r="M30" s="43"/>
      <c r="N30" s="44">
        <v>5.2499999999999998E-2</v>
      </c>
      <c r="O30" s="45">
        <f>N30*K30</f>
        <v>0</v>
      </c>
      <c r="Q30" s="34"/>
    </row>
    <row r="31" spans="1:18" x14ac:dyDescent="0.25">
      <c r="A31" s="86" t="s">
        <v>85</v>
      </c>
      <c r="B31" s="140"/>
      <c r="C31" s="88"/>
      <c r="D31" s="88"/>
      <c r="E31" s="89"/>
      <c r="F31" s="90"/>
      <c r="G31" s="34"/>
      <c r="H31" s="34"/>
      <c r="K31" s="140"/>
      <c r="L31" s="88"/>
      <c r="M31" s="88"/>
      <c r="N31" s="89"/>
      <c r="O31" s="90"/>
      <c r="Q31" s="34"/>
    </row>
    <row r="32" spans="1:18" x14ac:dyDescent="0.25">
      <c r="A32" s="91" t="s">
        <v>86</v>
      </c>
      <c r="B32" s="144">
        <f>B19</f>
        <v>0</v>
      </c>
      <c r="C32" s="93">
        <v>2.4000000000000001E-4</v>
      </c>
      <c r="D32" s="92">
        <f>C32*B32</f>
        <v>0</v>
      </c>
      <c r="E32" s="94">
        <v>3.5931292944418913E-4</v>
      </c>
      <c r="F32" s="95">
        <f>E32*B32</f>
        <v>0</v>
      </c>
      <c r="H32" s="34"/>
      <c r="K32" s="144">
        <f>K19</f>
        <v>0</v>
      </c>
      <c r="L32" s="93">
        <v>0</v>
      </c>
      <c r="M32" s="92">
        <f>L32*K32</f>
        <v>0</v>
      </c>
      <c r="N32" s="94">
        <v>3.5931292944418913E-4</v>
      </c>
      <c r="O32" s="95">
        <f>N32*K32</f>
        <v>0</v>
      </c>
      <c r="Q32" s="34"/>
    </row>
    <row r="33" spans="1:17" x14ac:dyDescent="0.25">
      <c r="A33" s="47" t="s">
        <v>87</v>
      </c>
      <c r="B33" s="141">
        <f>B32</f>
        <v>0</v>
      </c>
      <c r="C33" s="49">
        <f>IF('Simulateur CFDT '!I9='Simulateur CFDT '!Q19,E3,E4)</f>
        <v>0</v>
      </c>
      <c r="D33" s="48">
        <f t="shared" ref="D33" si="8">C33*B33</f>
        <v>0</v>
      </c>
      <c r="E33" s="50"/>
      <c r="F33" s="51"/>
      <c r="G33" s="34"/>
      <c r="H33" s="34"/>
      <c r="K33" s="141">
        <f>K32</f>
        <v>0</v>
      </c>
      <c r="L33" s="49">
        <f>C33</f>
        <v>0</v>
      </c>
      <c r="M33" s="48">
        <f t="shared" ref="M33" si="9">L33*K33</f>
        <v>0</v>
      </c>
      <c r="N33" s="50"/>
      <c r="O33" s="51"/>
      <c r="Q33" s="34"/>
    </row>
    <row r="34" spans="1:17" x14ac:dyDescent="0.25">
      <c r="A34" s="46" t="s">
        <v>88</v>
      </c>
      <c r="B34" s="146">
        <f>B19</f>
        <v>0</v>
      </c>
      <c r="C34" s="53"/>
      <c r="D34" s="52">
        <f>C34*B34</f>
        <v>0</v>
      </c>
      <c r="E34" s="54">
        <v>4.1999466048942842E-2</v>
      </c>
      <c r="F34" s="55">
        <f t="shared" ref="F34" si="10">E34*B34</f>
        <v>0</v>
      </c>
      <c r="K34" s="146">
        <f>K19</f>
        <v>0</v>
      </c>
      <c r="L34" s="53"/>
      <c r="M34" s="52">
        <f>L34*K34</f>
        <v>0</v>
      </c>
      <c r="N34" s="54">
        <v>4.1999466048942842E-2</v>
      </c>
      <c r="O34" s="55">
        <f t="shared" ref="O34" si="11">N34*K34</f>
        <v>0</v>
      </c>
    </row>
    <row r="35" spans="1:17" x14ac:dyDescent="0.25">
      <c r="A35" s="86" t="s">
        <v>89</v>
      </c>
      <c r="B35" s="140">
        <f>C10*$I$1+H16</f>
        <v>155.63</v>
      </c>
      <c r="C35" s="88"/>
      <c r="D35" s="88"/>
      <c r="E35" s="89">
        <v>6.6242245000000005E-2</v>
      </c>
      <c r="F35" s="90">
        <f>E35*B36</f>
        <v>0</v>
      </c>
      <c r="G35" s="672" t="s">
        <v>90</v>
      </c>
      <c r="H35" s="673"/>
      <c r="K35" s="140">
        <f>L10*$I$1+Q16</f>
        <v>155.63</v>
      </c>
      <c r="L35" s="88"/>
      <c r="M35" s="88"/>
      <c r="N35" s="89">
        <v>6.6242245000000005E-2</v>
      </c>
      <c r="O35" s="90">
        <f>N35*K36</f>
        <v>0</v>
      </c>
      <c r="P35" s="672" t="s">
        <v>90</v>
      </c>
      <c r="Q35" s="673"/>
    </row>
    <row r="36" spans="1:17" x14ac:dyDescent="0.25">
      <c r="A36" s="91" t="s">
        <v>91</v>
      </c>
      <c r="B36" s="145">
        <f>B19</f>
        <v>0</v>
      </c>
      <c r="C36" s="85"/>
      <c r="D36" s="84"/>
      <c r="E36" s="50">
        <v>2.0999999999999999E-3</v>
      </c>
      <c r="F36" s="51">
        <f>E36*B36</f>
        <v>0</v>
      </c>
      <c r="G36" s="126" t="s">
        <v>38</v>
      </c>
      <c r="H36" s="72" t="s">
        <v>27</v>
      </c>
      <c r="K36" s="145">
        <f>K19</f>
        <v>0</v>
      </c>
      <c r="L36" s="85"/>
      <c r="M36" s="84"/>
      <c r="N36" s="50">
        <v>2.0999999999999999E-3</v>
      </c>
      <c r="O36" s="51">
        <f>N36*K36</f>
        <v>0</v>
      </c>
      <c r="P36" s="126" t="s">
        <v>38</v>
      </c>
      <c r="Q36" s="72" t="s">
        <v>27</v>
      </c>
    </row>
    <row r="37" spans="1:17" x14ac:dyDescent="0.25">
      <c r="A37" s="47" t="s">
        <v>92</v>
      </c>
      <c r="B37" s="141">
        <f>B35</f>
        <v>155.63</v>
      </c>
      <c r="C37" s="49">
        <v>6.8000000000000005E-2</v>
      </c>
      <c r="D37" s="48">
        <f>B37*C37</f>
        <v>10.582840000000001</v>
      </c>
      <c r="E37" s="97"/>
      <c r="F37" s="96"/>
      <c r="G37" s="121">
        <f>D37+D38</f>
        <v>15.096110000000001</v>
      </c>
      <c r="H37" s="65"/>
      <c r="K37" s="141">
        <f>K35</f>
        <v>155.63</v>
      </c>
      <c r="L37" s="49">
        <v>6.8000000000000005E-2</v>
      </c>
      <c r="M37" s="48">
        <f>K37*L37</f>
        <v>10.582840000000001</v>
      </c>
      <c r="N37" s="97"/>
      <c r="O37" s="96"/>
      <c r="P37" s="121">
        <f>M37+M38</f>
        <v>15.096110000000001</v>
      </c>
      <c r="Q37" s="65"/>
    </row>
    <row r="38" spans="1:17" x14ac:dyDescent="0.25">
      <c r="A38" s="47" t="s">
        <v>93</v>
      </c>
      <c r="B38" s="141">
        <f>B37</f>
        <v>155.63</v>
      </c>
      <c r="C38" s="49">
        <v>2.9000000000000001E-2</v>
      </c>
      <c r="D38" s="48">
        <f>B38*C38</f>
        <v>4.5132700000000003</v>
      </c>
      <c r="E38" s="97"/>
      <c r="F38" s="96"/>
      <c r="G38" s="124" t="e">
        <f>G37/C10</f>
        <v>#DIV/0!</v>
      </c>
      <c r="H38" s="70"/>
      <c r="K38" s="141">
        <f>K37</f>
        <v>155.63</v>
      </c>
      <c r="L38" s="49">
        <v>2.9000000000000001E-2</v>
      </c>
      <c r="M38" s="48">
        <f>K38*L38</f>
        <v>4.5132700000000003</v>
      </c>
      <c r="N38" s="97"/>
      <c r="O38" s="96"/>
      <c r="P38" s="124" t="e">
        <f>P37/L10</f>
        <v>#DIV/0!</v>
      </c>
      <c r="Q38" s="70"/>
    </row>
    <row r="39" spans="1:17" x14ac:dyDescent="0.25">
      <c r="A39" s="152" t="s">
        <v>94</v>
      </c>
      <c r="B39" s="147">
        <v>0</v>
      </c>
      <c r="C39" s="111">
        <v>9.7000000000000003E-2</v>
      </c>
      <c r="D39" s="110">
        <f>C39*B39</f>
        <v>0</v>
      </c>
      <c r="E39" s="112"/>
      <c r="F39" s="101"/>
      <c r="K39" s="147">
        <v>0</v>
      </c>
      <c r="L39" s="111">
        <v>9.7000000000000003E-2</v>
      </c>
      <c r="M39" s="110">
        <f>L39*K39</f>
        <v>0</v>
      </c>
      <c r="N39" s="112"/>
      <c r="O39" s="101"/>
    </row>
    <row r="40" spans="1:17" x14ac:dyDescent="0.25">
      <c r="G40" s="34">
        <f>B37-4284.94</f>
        <v>-4129.3099999999995</v>
      </c>
    </row>
    <row r="41" spans="1:17" hidden="1" x14ac:dyDescent="0.25"/>
    <row r="42" spans="1:17" ht="15.75" hidden="1" x14ac:dyDescent="0.25">
      <c r="A42" s="19" t="s">
        <v>95</v>
      </c>
      <c r="B42" s="5"/>
      <c r="C42" s="48">
        <v>0</v>
      </c>
      <c r="D42" s="6"/>
      <c r="E42" s="7"/>
      <c r="F42" s="4"/>
      <c r="K42" s="5"/>
      <c r="L42" s="48">
        <v>0</v>
      </c>
      <c r="M42" s="6"/>
      <c r="N42" s="7"/>
      <c r="O42" s="4"/>
    </row>
    <row r="43" spans="1:17" hidden="1" x14ac:dyDescent="0.25"/>
    <row r="44" spans="1:17" ht="18" hidden="1" x14ac:dyDescent="0.25">
      <c r="A44" s="74" t="s">
        <v>96</v>
      </c>
      <c r="B44" s="75"/>
      <c r="C44" s="666" t="s">
        <v>24</v>
      </c>
      <c r="D44" s="666"/>
      <c r="E44" s="666"/>
      <c r="F44" s="667"/>
      <c r="K44" s="676" t="s">
        <v>6</v>
      </c>
      <c r="L44" s="676"/>
      <c r="M44" s="676"/>
      <c r="N44" s="676"/>
      <c r="O44" s="676"/>
    </row>
    <row r="45" spans="1:17" hidden="1" x14ac:dyDescent="0.25">
      <c r="B45" s="677" t="s">
        <v>57</v>
      </c>
      <c r="C45" s="677"/>
      <c r="D45" s="677"/>
      <c r="E45" s="3">
        <v>1</v>
      </c>
      <c r="F45" s="2" t="s">
        <v>58</v>
      </c>
      <c r="G45" s="679" t="s">
        <v>59</v>
      </c>
      <c r="H45" s="673"/>
      <c r="K45" s="670" t="s">
        <v>57</v>
      </c>
      <c r="L45" s="671"/>
      <c r="M45" s="671"/>
      <c r="N45" s="129">
        <v>1</v>
      </c>
      <c r="O45" s="130" t="s">
        <v>58</v>
      </c>
      <c r="P45" s="679" t="s">
        <v>59</v>
      </c>
      <c r="Q45" s="673"/>
    </row>
    <row r="46" spans="1:17" hidden="1" x14ac:dyDescent="0.25">
      <c r="B46" s="41" t="s">
        <v>60</v>
      </c>
      <c r="C46" s="41" t="s">
        <v>61</v>
      </c>
      <c r="D46" s="41" t="s">
        <v>62</v>
      </c>
      <c r="E46" s="678" t="s">
        <v>63</v>
      </c>
      <c r="F46" s="678"/>
      <c r="G46" s="63" t="s">
        <v>38</v>
      </c>
      <c r="H46" s="64" t="s">
        <v>27</v>
      </c>
      <c r="K46" s="131" t="s">
        <v>60</v>
      </c>
      <c r="L46" s="132" t="s">
        <v>61</v>
      </c>
      <c r="M46" s="132" t="s">
        <v>62</v>
      </c>
      <c r="N46" s="674" t="s">
        <v>63</v>
      </c>
      <c r="O46" s="675"/>
      <c r="P46" s="63" t="s">
        <v>38</v>
      </c>
      <c r="Q46" s="64" t="s">
        <v>27</v>
      </c>
    </row>
    <row r="47" spans="1:17" ht="18.75" hidden="1" x14ac:dyDescent="0.3">
      <c r="B47" s="5"/>
      <c r="C47" s="102">
        <f>'Simulateur Fusion CFDT'!I7</f>
        <v>0</v>
      </c>
      <c r="D47" s="99">
        <f>C47-G47</f>
        <v>-433.48808279999997</v>
      </c>
      <c r="E47" s="7"/>
      <c r="F47" s="4">
        <f>SUM(F51:F75)</f>
        <v>698.9624</v>
      </c>
      <c r="G47" s="73">
        <f>G53+G60+G73</f>
        <v>433.48808279999997</v>
      </c>
      <c r="H47" s="65">
        <f>F47</f>
        <v>698.9624</v>
      </c>
      <c r="K47" s="133"/>
      <c r="L47" s="134">
        <f>C47</f>
        <v>0</v>
      </c>
      <c r="M47" s="135">
        <f>L47-P47</f>
        <v>-399.2080828</v>
      </c>
      <c r="N47" s="136"/>
      <c r="O47" s="137">
        <f>SUM(O51:O75)</f>
        <v>698.9624</v>
      </c>
      <c r="P47" s="73">
        <f>P53+P60+P73</f>
        <v>399.2080828</v>
      </c>
      <c r="Q47" s="65">
        <f>O47</f>
        <v>698.9624</v>
      </c>
    </row>
    <row r="48" spans="1:17" ht="15.75" hidden="1" x14ac:dyDescent="0.25">
      <c r="A48" s="19" t="s">
        <v>64</v>
      </c>
      <c r="B48" s="5"/>
      <c r="C48" s="103">
        <f>C47+B19</f>
        <v>0</v>
      </c>
      <c r="D48" s="6"/>
      <c r="E48" s="7"/>
      <c r="F48" s="4"/>
      <c r="G48" s="100" t="e">
        <f>G47/C47</f>
        <v>#DIV/0!</v>
      </c>
      <c r="H48" s="67" t="e">
        <f>H47/C47</f>
        <v>#DIV/0!</v>
      </c>
      <c r="K48" s="133"/>
      <c r="L48" s="103">
        <f>L47+K20</f>
        <v>0</v>
      </c>
      <c r="M48" s="138"/>
      <c r="N48" s="136"/>
      <c r="O48" s="137"/>
      <c r="P48" s="100" t="e">
        <f>P47/L47</f>
        <v>#DIV/0!</v>
      </c>
      <c r="Q48" s="67" t="e">
        <f>Q47/L47</f>
        <v>#DIV/0!</v>
      </c>
    </row>
    <row r="49" spans="1:18" ht="15.75" hidden="1" x14ac:dyDescent="0.25">
      <c r="A49" s="78" t="s">
        <v>65</v>
      </c>
      <c r="B49" s="5"/>
      <c r="C49" s="80">
        <f>F53</f>
        <v>0</v>
      </c>
      <c r="D49" s="6"/>
      <c r="E49" s="7"/>
      <c r="F49" s="4"/>
      <c r="K49" s="133"/>
      <c r="L49" s="80">
        <f>O53</f>
        <v>0</v>
      </c>
      <c r="M49" s="138"/>
      <c r="N49" s="136"/>
      <c r="O49" s="137"/>
    </row>
    <row r="50" spans="1:18" hidden="1" x14ac:dyDescent="0.25">
      <c r="A50" s="19"/>
    </row>
    <row r="51" spans="1:18" hidden="1" x14ac:dyDescent="0.25">
      <c r="A51" s="86" t="s">
        <v>67</v>
      </c>
      <c r="B51" s="87"/>
      <c r="C51" s="88"/>
      <c r="D51" s="88"/>
      <c r="E51" s="89"/>
      <c r="F51" s="90"/>
      <c r="G51" s="679" t="s">
        <v>68</v>
      </c>
      <c r="H51" s="673"/>
      <c r="K51" s="140"/>
      <c r="L51" s="88"/>
      <c r="M51" s="88"/>
      <c r="N51" s="89"/>
      <c r="O51" s="90"/>
      <c r="P51" s="679" t="s">
        <v>68</v>
      </c>
      <c r="Q51" s="673"/>
    </row>
    <row r="52" spans="1:18" hidden="1" x14ac:dyDescent="0.25">
      <c r="A52" s="186" t="s">
        <v>33</v>
      </c>
      <c r="B52" s="187">
        <f>E42</f>
        <v>0</v>
      </c>
      <c r="C52" s="190">
        <v>1.01E-2</v>
      </c>
      <c r="D52" s="188">
        <f>C52*B52</f>
        <v>0</v>
      </c>
      <c r="E52" s="190">
        <v>4.5920000000000002E-2</v>
      </c>
      <c r="F52" s="189">
        <f>E52*B52</f>
        <v>0</v>
      </c>
      <c r="G52" s="63" t="s">
        <v>38</v>
      </c>
      <c r="H52" s="64" t="s">
        <v>27</v>
      </c>
      <c r="K52" s="187">
        <f>N42</f>
        <v>0</v>
      </c>
      <c r="L52" s="190">
        <v>1.01E-2</v>
      </c>
      <c r="M52" s="187">
        <f>L52*K52</f>
        <v>0</v>
      </c>
      <c r="N52" s="190">
        <v>4.5920000000000002E-2</v>
      </c>
      <c r="O52" s="82">
        <f>N52*K52</f>
        <v>0</v>
      </c>
      <c r="P52" s="63" t="s">
        <v>38</v>
      </c>
      <c r="Q52" s="64" t="s">
        <v>27</v>
      </c>
    </row>
    <row r="53" spans="1:18" hidden="1" x14ac:dyDescent="0.25">
      <c r="A53" s="186" t="s">
        <v>69</v>
      </c>
      <c r="B53" s="187">
        <f>E42</f>
        <v>0</v>
      </c>
      <c r="C53" s="190">
        <v>0</v>
      </c>
      <c r="D53" s="188">
        <f>C53*B53</f>
        <v>0</v>
      </c>
      <c r="E53" s="190">
        <v>0</v>
      </c>
      <c r="F53" s="189">
        <f>E53*B53</f>
        <v>0</v>
      </c>
      <c r="G53" s="73">
        <f>D52+D53+D54+D55+D64+D65+D66</f>
        <v>40.107599999999998</v>
      </c>
      <c r="H53" s="65">
        <f>F52+F53+F54+F55+F64+F65+F66</f>
        <v>199.85240000000002</v>
      </c>
      <c r="K53" s="187">
        <f>N42</f>
        <v>0</v>
      </c>
      <c r="L53" s="190">
        <v>0</v>
      </c>
      <c r="M53" s="187">
        <f>L53*K53</f>
        <v>0</v>
      </c>
      <c r="N53" s="190">
        <v>0</v>
      </c>
      <c r="O53" s="108">
        <f>N53*K53</f>
        <v>0</v>
      </c>
      <c r="P53" s="73">
        <f>M52+M53+M54+M55+M64+M65+M66</f>
        <v>5.8275999999999994</v>
      </c>
      <c r="Q53" s="65">
        <f>O52+O53+O54+O55+O64+O65+O66</f>
        <v>199.85240000000002</v>
      </c>
    </row>
    <row r="54" spans="1:18" hidden="1" x14ac:dyDescent="0.25">
      <c r="A54" s="56" t="s">
        <v>70</v>
      </c>
      <c r="B54" s="48">
        <f>IF(B17&gt;$E$1,0, $E$1-B17)</f>
        <v>3428</v>
      </c>
      <c r="C54" s="49">
        <v>1.6999999999999999E-3</v>
      </c>
      <c r="D54" s="58">
        <f>C54*B54</f>
        <v>5.8275999999999994</v>
      </c>
      <c r="E54" s="50">
        <v>8.3000000000000001E-3</v>
      </c>
      <c r="F54" s="82">
        <f>E54*B54</f>
        <v>28.452400000000001</v>
      </c>
      <c r="G54" s="116" t="e">
        <f>G53/C47</f>
        <v>#DIV/0!</v>
      </c>
      <c r="H54" s="117" t="e">
        <f>H53/C47</f>
        <v>#DIV/0!</v>
      </c>
      <c r="K54" s="48">
        <f>IF(K17&gt;$E$1,0, $E$1-K17)</f>
        <v>3428</v>
      </c>
      <c r="L54" s="49">
        <v>1.6999999999999999E-3</v>
      </c>
      <c r="M54" s="58">
        <f>L54*K54</f>
        <v>5.8275999999999994</v>
      </c>
      <c r="N54" s="50">
        <v>8.3000000000000001E-3</v>
      </c>
      <c r="O54" s="82">
        <f>N54*K54</f>
        <v>28.452400000000001</v>
      </c>
      <c r="P54" s="116" t="e">
        <f>P53/L47</f>
        <v>#DIV/0!</v>
      </c>
      <c r="Q54" s="117" t="e">
        <f>Q53/L47</f>
        <v>#DIV/0!</v>
      </c>
    </row>
    <row r="55" spans="1:18" hidden="1" x14ac:dyDescent="0.25">
      <c r="A55" s="56" t="s">
        <v>71</v>
      </c>
      <c r="B55" s="48">
        <f>IF(B18+B56&lt;$G$1,IF((B18+B56)&lt;$G$1,B56,$G$1),$G$1-B18)</f>
        <v>0</v>
      </c>
      <c r="C55" s="49">
        <v>6.0000000000000001E-3</v>
      </c>
      <c r="D55" s="58">
        <f>C55*B55</f>
        <v>0</v>
      </c>
      <c r="E55" s="50">
        <v>6.0000000000000001E-3</v>
      </c>
      <c r="F55" s="115">
        <f t="shared" ref="F55" si="12">E55*B55</f>
        <v>0</v>
      </c>
      <c r="G55" s="158">
        <f>D52+D53</f>
        <v>0</v>
      </c>
      <c r="H55" s="154">
        <f>F52+F53</f>
        <v>0</v>
      </c>
      <c r="I55" s="1" t="s">
        <v>33</v>
      </c>
      <c r="K55" s="48">
        <f>IF(K18+K56&lt;$G$1,IF((K18+K56)&lt;$G$1,K56,$G$1),$G$1-K18)</f>
        <v>0</v>
      </c>
      <c r="L55" s="49">
        <v>6.0000000000000001E-3</v>
      </c>
      <c r="M55" s="58">
        <f>L55*K55</f>
        <v>0</v>
      </c>
      <c r="N55" s="50">
        <v>6.0000000000000001E-3</v>
      </c>
      <c r="O55" s="82">
        <f t="shared" ref="O55" si="13">N55*K55</f>
        <v>0</v>
      </c>
      <c r="P55" s="158">
        <f>M52+M53</f>
        <v>0</v>
      </c>
      <c r="Q55" s="154">
        <f>O52+O53</f>
        <v>0</v>
      </c>
      <c r="R55" s="1" t="s">
        <v>33</v>
      </c>
    </row>
    <row r="56" spans="1:18" hidden="1" x14ac:dyDescent="0.25">
      <c r="A56" s="46" t="s">
        <v>72</v>
      </c>
      <c r="B56" s="77">
        <f>C47+C49</f>
        <v>0</v>
      </c>
      <c r="C56" s="76"/>
      <c r="D56" s="52"/>
      <c r="E56" s="54">
        <v>0.12999901640594699</v>
      </c>
      <c r="F56" s="68">
        <f>E56*B56</f>
        <v>0</v>
      </c>
      <c r="G56" s="159">
        <f>D54+D55</f>
        <v>5.8275999999999994</v>
      </c>
      <c r="H56" s="160">
        <f>F54+F55</f>
        <v>28.452400000000001</v>
      </c>
      <c r="I56" s="1" t="s">
        <v>34</v>
      </c>
      <c r="K56" s="77">
        <f>L47+L49</f>
        <v>0</v>
      </c>
      <c r="L56" s="76"/>
      <c r="M56" s="52"/>
      <c r="N56" s="54">
        <v>0.12999901640594699</v>
      </c>
      <c r="O56" s="55">
        <f>N56*K56</f>
        <v>0</v>
      </c>
      <c r="P56" s="159">
        <f>M54+M55</f>
        <v>5.8275999999999994</v>
      </c>
      <c r="Q56" s="160">
        <f>O54+O55</f>
        <v>28.452400000000001</v>
      </c>
      <c r="R56" s="1" t="s">
        <v>34</v>
      </c>
    </row>
    <row r="57" spans="1:18" hidden="1" x14ac:dyDescent="0.25">
      <c r="A57" s="79" t="s">
        <v>73</v>
      </c>
      <c r="B57" s="42">
        <f>B56</f>
        <v>0</v>
      </c>
      <c r="C57" s="43"/>
      <c r="D57" s="43"/>
      <c r="E57" s="44">
        <v>7.7000000000000002E-3</v>
      </c>
      <c r="F57" s="45">
        <f>E57*B57</f>
        <v>0</v>
      </c>
      <c r="K57" s="42">
        <f>K56</f>
        <v>0</v>
      </c>
      <c r="L57" s="43"/>
      <c r="M57" s="43"/>
      <c r="N57" s="44">
        <v>7.7000000000000002E-3</v>
      </c>
      <c r="O57" s="45">
        <f>N57*K57</f>
        <v>0</v>
      </c>
    </row>
    <row r="58" spans="1:18" hidden="1" x14ac:dyDescent="0.25">
      <c r="A58" s="86" t="s">
        <v>74</v>
      </c>
      <c r="B58" s="87"/>
      <c r="C58" s="88"/>
      <c r="D58" s="88"/>
      <c r="E58" s="89"/>
      <c r="F58" s="90"/>
      <c r="G58" s="679" t="s">
        <v>75</v>
      </c>
      <c r="H58" s="673"/>
      <c r="K58" s="87"/>
      <c r="L58" s="88"/>
      <c r="M58" s="88"/>
      <c r="N58" s="89"/>
      <c r="O58" s="90"/>
      <c r="P58" s="679" t="s">
        <v>75</v>
      </c>
      <c r="Q58" s="673"/>
    </row>
    <row r="59" spans="1:18" hidden="1" x14ac:dyDescent="0.25">
      <c r="A59" s="91" t="s">
        <v>76</v>
      </c>
      <c r="B59" s="92">
        <f>B54</f>
        <v>3428</v>
      </c>
      <c r="C59" s="93">
        <v>6.9000000000000006E-2</v>
      </c>
      <c r="D59" s="92">
        <f t="shared" ref="D59:D66" si="14">C59*B59</f>
        <v>236.53200000000001</v>
      </c>
      <c r="E59" s="94">
        <v>8.5498833138856464E-2</v>
      </c>
      <c r="F59" s="95">
        <f t="shared" ref="F59:F60" si="15">E59*B59</f>
        <v>293.08999999999997</v>
      </c>
      <c r="G59" s="63" t="s">
        <v>38</v>
      </c>
      <c r="H59" s="64" t="s">
        <v>27</v>
      </c>
      <c r="K59" s="92">
        <f>K54</f>
        <v>3428</v>
      </c>
      <c r="L59" s="93">
        <v>6.9000000000000006E-2</v>
      </c>
      <c r="M59" s="92">
        <f t="shared" ref="M59:M66" si="16">L59*K59</f>
        <v>236.53200000000001</v>
      </c>
      <c r="N59" s="94">
        <v>8.5498833138856464E-2</v>
      </c>
      <c r="O59" s="95">
        <f t="shared" ref="O59:O60" si="17">N59*K59</f>
        <v>293.08999999999997</v>
      </c>
      <c r="P59" s="63" t="s">
        <v>38</v>
      </c>
      <c r="Q59" s="64" t="s">
        <v>27</v>
      </c>
    </row>
    <row r="60" spans="1:18" hidden="1" x14ac:dyDescent="0.25">
      <c r="A60" s="47" t="s">
        <v>77</v>
      </c>
      <c r="B60" s="84">
        <f>B56</f>
        <v>0</v>
      </c>
      <c r="C60" s="85">
        <v>4.0000000000000001E-3</v>
      </c>
      <c r="D60" s="84">
        <f t="shared" si="14"/>
        <v>0</v>
      </c>
      <c r="E60" s="50">
        <v>1.899942389491201E-2</v>
      </c>
      <c r="F60" s="51">
        <f t="shared" si="15"/>
        <v>0</v>
      </c>
      <c r="G60" s="73">
        <f>D59+D60+D61+D62+D63+D69</f>
        <v>373.9948</v>
      </c>
      <c r="H60" s="65"/>
      <c r="K60" s="84">
        <f>K56</f>
        <v>0</v>
      </c>
      <c r="L60" s="85">
        <v>4.0000000000000001E-3</v>
      </c>
      <c r="M60" s="84">
        <f t="shared" si="16"/>
        <v>0</v>
      </c>
      <c r="N60" s="50">
        <v>1.899942389491201E-2</v>
      </c>
      <c r="O60" s="51">
        <f t="shared" si="17"/>
        <v>0</v>
      </c>
      <c r="P60" s="73">
        <f>M59+M60+M61+M62+M63+M69</f>
        <v>373.9948</v>
      </c>
      <c r="Q60" s="65"/>
    </row>
    <row r="61" spans="1:18" hidden="1" x14ac:dyDescent="0.25">
      <c r="A61" s="47" t="s">
        <v>78</v>
      </c>
      <c r="B61" s="48">
        <f>B59</f>
        <v>3428</v>
      </c>
      <c r="C61" s="49">
        <v>4.0099999999999997E-2</v>
      </c>
      <c r="D61" s="48">
        <f t="shared" si="14"/>
        <v>137.46279999999999</v>
      </c>
      <c r="E61" s="50">
        <v>6.0099183197199535E-2</v>
      </c>
      <c r="F61" s="51">
        <f>E61*B61</f>
        <v>206.02</v>
      </c>
      <c r="G61" s="66" t="e">
        <f>G60/C47</f>
        <v>#DIV/0!</v>
      </c>
      <c r="H61" s="67"/>
      <c r="K61" s="48">
        <f>K59</f>
        <v>3428</v>
      </c>
      <c r="L61" s="49">
        <v>4.0099999999999997E-2</v>
      </c>
      <c r="M61" s="48">
        <f t="shared" si="16"/>
        <v>137.46279999999999</v>
      </c>
      <c r="N61" s="50">
        <v>6.0099183197199535E-2</v>
      </c>
      <c r="O61" s="51">
        <f>N61*K61</f>
        <v>206.02</v>
      </c>
      <c r="P61" s="66" t="e">
        <f>P60/L47</f>
        <v>#DIV/0!</v>
      </c>
      <c r="Q61" s="67"/>
    </row>
    <row r="62" spans="1:18" hidden="1" x14ac:dyDescent="0.25">
      <c r="A62" s="47" t="s">
        <v>79</v>
      </c>
      <c r="B62" s="48">
        <f>B55</f>
        <v>0</v>
      </c>
      <c r="C62" s="49">
        <v>9.7199999999999995E-2</v>
      </c>
      <c r="D62" s="48">
        <f t="shared" si="14"/>
        <v>0</v>
      </c>
      <c r="E62" s="50">
        <v>0.145705</v>
      </c>
      <c r="F62" s="51">
        <f>E62*B62</f>
        <v>0</v>
      </c>
      <c r="K62" s="48">
        <f>K55</f>
        <v>0</v>
      </c>
      <c r="L62" s="49">
        <v>9.7199999999999995E-2</v>
      </c>
      <c r="M62" s="48">
        <f t="shared" si="16"/>
        <v>0</v>
      </c>
      <c r="N62" s="50">
        <v>0.145705</v>
      </c>
      <c r="O62" s="51">
        <f>N62*K62</f>
        <v>0</v>
      </c>
    </row>
    <row r="63" spans="1:18" hidden="1" x14ac:dyDescent="0.25">
      <c r="A63" s="81" t="s">
        <v>80</v>
      </c>
      <c r="B63" s="48">
        <f>B60</f>
        <v>0</v>
      </c>
      <c r="C63" s="49">
        <v>1.4E-3</v>
      </c>
      <c r="D63" s="48">
        <f t="shared" si="14"/>
        <v>0</v>
      </c>
      <c r="E63" s="50">
        <v>2.0996722022269378E-3</v>
      </c>
      <c r="F63" s="51">
        <f t="shared" ref="F63:F66" si="18">E63*B63</f>
        <v>0</v>
      </c>
      <c r="K63" s="48">
        <f>K60</f>
        <v>0</v>
      </c>
      <c r="L63" s="49">
        <v>1.4E-3</v>
      </c>
      <c r="M63" s="48">
        <f t="shared" si="16"/>
        <v>0</v>
      </c>
      <c r="N63" s="50">
        <v>2.0996722022269378E-3</v>
      </c>
      <c r="O63" s="51">
        <f t="shared" ref="O63:O66" si="19">N63*K63</f>
        <v>0</v>
      </c>
    </row>
    <row r="64" spans="1:18" hidden="1" x14ac:dyDescent="0.25">
      <c r="A64" s="56" t="s">
        <v>81</v>
      </c>
      <c r="B64" s="48">
        <f>B61</f>
        <v>3428</v>
      </c>
      <c r="C64" s="49">
        <v>0.01</v>
      </c>
      <c r="D64" s="59">
        <f t="shared" si="14"/>
        <v>34.28</v>
      </c>
      <c r="E64" s="50">
        <v>0.05</v>
      </c>
      <c r="F64" s="82">
        <f t="shared" si="18"/>
        <v>171.4</v>
      </c>
      <c r="G64" s="153">
        <f>D64+D65+D66</f>
        <v>34.28</v>
      </c>
      <c r="H64" s="154">
        <f>F64+F65+F66</f>
        <v>171.4</v>
      </c>
      <c r="I64" s="1" t="s">
        <v>97</v>
      </c>
      <c r="K64" s="48">
        <f>K61</f>
        <v>3428</v>
      </c>
      <c r="L64" s="49">
        <v>0</v>
      </c>
      <c r="M64" s="59">
        <f t="shared" si="16"/>
        <v>0</v>
      </c>
      <c r="N64" s="50">
        <v>0.05</v>
      </c>
      <c r="O64" s="82">
        <f t="shared" si="19"/>
        <v>171.4</v>
      </c>
      <c r="P64" s="153">
        <f>M64+M65+M66</f>
        <v>0</v>
      </c>
      <c r="Q64" s="154">
        <f>O64+O65+O66</f>
        <v>171.4</v>
      </c>
      <c r="R64" s="1" t="s">
        <v>97</v>
      </c>
    </row>
    <row r="65" spans="1:17" hidden="1" x14ac:dyDescent="0.25">
      <c r="A65" s="56" t="s">
        <v>82</v>
      </c>
      <c r="B65" s="48">
        <f>B55</f>
        <v>0</v>
      </c>
      <c r="C65" s="49">
        <v>0.01</v>
      </c>
      <c r="D65" s="59">
        <f t="shared" si="14"/>
        <v>0</v>
      </c>
      <c r="E65" s="50">
        <v>0.05</v>
      </c>
      <c r="F65" s="82">
        <f t="shared" si="18"/>
        <v>0</v>
      </c>
      <c r="K65" s="48">
        <f>K55</f>
        <v>0</v>
      </c>
      <c r="L65" s="49">
        <v>0</v>
      </c>
      <c r="M65" s="59">
        <f t="shared" si="16"/>
        <v>0</v>
      </c>
      <c r="N65" s="50">
        <v>0.05</v>
      </c>
      <c r="O65" s="82">
        <f t="shared" si="19"/>
        <v>0</v>
      </c>
    </row>
    <row r="66" spans="1:17" hidden="1" x14ac:dyDescent="0.25">
      <c r="A66" s="57" t="s">
        <v>83</v>
      </c>
      <c r="B66" s="52">
        <f>IF(B19&gt;0,  IF((B19+B56-B54-B55)&gt;=$G$1,B56-B54-B55,0), 0 )</f>
        <v>0</v>
      </c>
      <c r="C66" s="53">
        <v>0.01</v>
      </c>
      <c r="D66" s="60">
        <f t="shared" si="14"/>
        <v>0</v>
      </c>
      <c r="E66" s="54">
        <v>0.05</v>
      </c>
      <c r="F66" s="83">
        <f t="shared" si="18"/>
        <v>0</v>
      </c>
      <c r="H66" s="34"/>
      <c r="K66" s="52">
        <f>IF(K19&gt;0,  IF((K19+K56-K54-K55)&gt;=$G$1,K56-K54-K55,0), 0 )</f>
        <v>0</v>
      </c>
      <c r="L66" s="53">
        <v>0</v>
      </c>
      <c r="M66" s="60">
        <f t="shared" si="16"/>
        <v>0</v>
      </c>
      <c r="N66" s="54">
        <v>0.05</v>
      </c>
      <c r="O66" s="83">
        <f t="shared" si="19"/>
        <v>0</v>
      </c>
      <c r="Q66" s="34"/>
    </row>
    <row r="67" spans="1:17" hidden="1" x14ac:dyDescent="0.25">
      <c r="A67" s="79" t="s">
        <v>84</v>
      </c>
      <c r="B67" s="42">
        <f>B56</f>
        <v>0</v>
      </c>
      <c r="C67" s="43"/>
      <c r="D67" s="43"/>
      <c r="E67" s="44">
        <v>5.2499999999999998E-2</v>
      </c>
      <c r="F67" s="45">
        <f>E67*B67</f>
        <v>0</v>
      </c>
      <c r="K67" s="42">
        <f>K56</f>
        <v>0</v>
      </c>
      <c r="L67" s="43"/>
      <c r="M67" s="43"/>
      <c r="N67" s="44">
        <v>5.2499999999999998E-2</v>
      </c>
      <c r="O67" s="45">
        <f>N67*K67</f>
        <v>0</v>
      </c>
    </row>
    <row r="68" spans="1:17" hidden="1" x14ac:dyDescent="0.25">
      <c r="A68" s="86" t="s">
        <v>85</v>
      </c>
      <c r="B68" s="87"/>
      <c r="C68" s="88"/>
      <c r="D68" s="88"/>
      <c r="E68" s="89"/>
      <c r="F68" s="90"/>
      <c r="K68" s="87"/>
      <c r="L68" s="88"/>
      <c r="M68" s="88"/>
      <c r="N68" s="89"/>
      <c r="O68" s="90"/>
    </row>
    <row r="69" spans="1:17" hidden="1" x14ac:dyDescent="0.25">
      <c r="A69" s="91" t="s">
        <v>86</v>
      </c>
      <c r="B69" s="92">
        <f>B56</f>
        <v>0</v>
      </c>
      <c r="C69" s="93">
        <v>2.4000000000000001E-4</v>
      </c>
      <c r="D69" s="92">
        <f>C69*B69</f>
        <v>0</v>
      </c>
      <c r="E69" s="94">
        <v>3.5931292944418913E-4</v>
      </c>
      <c r="F69" s="95">
        <f>E69*B69</f>
        <v>0</v>
      </c>
      <c r="K69" s="92">
        <f>K56</f>
        <v>0</v>
      </c>
      <c r="L69" s="93">
        <v>2.4000000000000001E-4</v>
      </c>
      <c r="M69" s="92">
        <f>L69*K69</f>
        <v>0</v>
      </c>
      <c r="N69" s="94">
        <v>3.5931292944418913E-4</v>
      </c>
      <c r="O69" s="95">
        <f>N69*K69</f>
        <v>0</v>
      </c>
    </row>
    <row r="70" spans="1:17" hidden="1" x14ac:dyDescent="0.25">
      <c r="A70" s="46" t="s">
        <v>88</v>
      </c>
      <c r="B70" s="52">
        <f>B56</f>
        <v>0</v>
      </c>
      <c r="C70" s="53"/>
      <c r="D70" s="52">
        <f>C70*B70</f>
        <v>0</v>
      </c>
      <c r="E70" s="54">
        <v>4.1999466048942842E-2</v>
      </c>
      <c r="F70" s="55">
        <f t="shared" ref="F70" si="20">E70*B70</f>
        <v>0</v>
      </c>
      <c r="K70" s="52">
        <f>K56</f>
        <v>0</v>
      </c>
      <c r="L70" s="53"/>
      <c r="M70" s="52">
        <f>L70*K70</f>
        <v>0</v>
      </c>
      <c r="N70" s="54">
        <v>4.1999466048942842E-2</v>
      </c>
      <c r="O70" s="55">
        <f t="shared" ref="O70" si="21">N70*K70</f>
        <v>0</v>
      </c>
    </row>
    <row r="71" spans="1:17" hidden="1" x14ac:dyDescent="0.25">
      <c r="A71" s="86" t="s">
        <v>89</v>
      </c>
      <c r="B71" s="87">
        <f>C47*$I$1+H53</f>
        <v>199.85240000000002</v>
      </c>
      <c r="C71" s="88"/>
      <c r="D71" s="88"/>
      <c r="E71" s="89">
        <v>6.6242245000000005E-2</v>
      </c>
      <c r="F71" s="90">
        <f>E71*B72</f>
        <v>0</v>
      </c>
      <c r="G71" s="679" t="s">
        <v>90</v>
      </c>
      <c r="H71" s="673"/>
      <c r="K71" s="87">
        <f>L47*$I$1+Q53</f>
        <v>199.85240000000002</v>
      </c>
      <c r="L71" s="88"/>
      <c r="M71" s="88"/>
      <c r="N71" s="89">
        <v>6.6242245000000005E-2</v>
      </c>
      <c r="O71" s="90">
        <f>N71*K72</f>
        <v>0</v>
      </c>
      <c r="P71" s="679" t="s">
        <v>90</v>
      </c>
      <c r="Q71" s="673"/>
    </row>
    <row r="72" spans="1:17" hidden="1" x14ac:dyDescent="0.25">
      <c r="A72" s="91" t="s">
        <v>91</v>
      </c>
      <c r="B72" s="84">
        <f>B56</f>
        <v>0</v>
      </c>
      <c r="C72" s="85"/>
      <c r="D72" s="84"/>
      <c r="E72" s="50">
        <v>2.0999999999999999E-3</v>
      </c>
      <c r="F72" s="51">
        <f>E72*B72</f>
        <v>0</v>
      </c>
      <c r="G72" s="71" t="s">
        <v>38</v>
      </c>
      <c r="H72" s="72" t="s">
        <v>27</v>
      </c>
      <c r="K72" s="84">
        <f>K56</f>
        <v>0</v>
      </c>
      <c r="L72" s="85"/>
      <c r="M72" s="84"/>
      <c r="N72" s="50">
        <v>2.0999999999999999E-3</v>
      </c>
      <c r="O72" s="51">
        <f>N72*K72</f>
        <v>0</v>
      </c>
      <c r="P72" s="71" t="s">
        <v>38</v>
      </c>
      <c r="Q72" s="72" t="s">
        <v>27</v>
      </c>
    </row>
    <row r="73" spans="1:17" hidden="1" x14ac:dyDescent="0.25">
      <c r="A73" s="47" t="s">
        <v>92</v>
      </c>
      <c r="B73" s="48">
        <f>B71</f>
        <v>199.85240000000002</v>
      </c>
      <c r="C73" s="49">
        <v>6.8000000000000005E-2</v>
      </c>
      <c r="D73" s="48">
        <f>B73*C73</f>
        <v>13.589963200000001</v>
      </c>
      <c r="E73" s="97"/>
      <c r="F73" s="96"/>
      <c r="G73" s="98">
        <f>D73+D74</f>
        <v>19.385682800000001</v>
      </c>
      <c r="H73" s="65"/>
      <c r="K73" s="48">
        <f>K71</f>
        <v>199.85240000000002</v>
      </c>
      <c r="L73" s="49">
        <v>6.8000000000000005E-2</v>
      </c>
      <c r="M73" s="48">
        <f>K73*L73</f>
        <v>13.589963200000001</v>
      </c>
      <c r="N73" s="97"/>
      <c r="O73" s="96"/>
      <c r="P73" s="98">
        <f>M73+M74</f>
        <v>19.385682800000001</v>
      </c>
      <c r="Q73" s="65"/>
    </row>
    <row r="74" spans="1:17" hidden="1" x14ac:dyDescent="0.25">
      <c r="A74" s="47" t="s">
        <v>93</v>
      </c>
      <c r="B74" s="48">
        <f>B73</f>
        <v>199.85240000000002</v>
      </c>
      <c r="C74" s="49">
        <v>2.9000000000000001E-2</v>
      </c>
      <c r="D74" s="48">
        <f>B74*C74</f>
        <v>5.7957196000000009</v>
      </c>
      <c r="E74" s="97"/>
      <c r="F74" s="96"/>
      <c r="G74" s="66" t="e">
        <f>G73/C47</f>
        <v>#DIV/0!</v>
      </c>
      <c r="H74" s="70"/>
      <c r="K74" s="48">
        <f>K73</f>
        <v>199.85240000000002</v>
      </c>
      <c r="L74" s="49">
        <v>2.9000000000000001E-2</v>
      </c>
      <c r="M74" s="48">
        <f>K74*L74</f>
        <v>5.7957196000000009</v>
      </c>
      <c r="N74" s="97"/>
      <c r="O74" s="96"/>
      <c r="P74" s="66" t="e">
        <f>P73/L47</f>
        <v>#DIV/0!</v>
      </c>
      <c r="Q74" s="70"/>
    </row>
    <row r="75" spans="1:17" hidden="1" x14ac:dyDescent="0.25">
      <c r="A75" s="109" t="s">
        <v>94</v>
      </c>
      <c r="B75" s="110">
        <v>0</v>
      </c>
      <c r="C75" s="111">
        <v>9.7000000000000003E-2</v>
      </c>
      <c r="D75" s="110">
        <f>C75*B75</f>
        <v>0</v>
      </c>
      <c r="E75" s="112"/>
      <c r="F75" s="101"/>
      <c r="K75" s="110">
        <v>0</v>
      </c>
      <c r="L75" s="111">
        <v>9.7000000000000003E-2</v>
      </c>
      <c r="M75" s="110">
        <f>L75*K75</f>
        <v>0</v>
      </c>
      <c r="N75" s="112"/>
      <c r="O75" s="101"/>
    </row>
    <row r="76" spans="1:17" hidden="1" x14ac:dyDescent="0.25"/>
    <row r="77" spans="1:17" hidden="1" x14ac:dyDescent="0.25"/>
    <row r="78" spans="1:17" hidden="1" x14ac:dyDescent="0.25">
      <c r="A78" s="1" t="s">
        <v>98</v>
      </c>
      <c r="B78" s="1" t="s">
        <v>99</v>
      </c>
    </row>
    <row r="79" spans="1:17" hidden="1" x14ac:dyDescent="0.25">
      <c r="A79" s="47" t="s">
        <v>92</v>
      </c>
      <c r="B79" s="48">
        <v>100</v>
      </c>
      <c r="C79" s="49">
        <v>6.8000000000000005E-2</v>
      </c>
      <c r="D79" s="48">
        <f>B79*C79</f>
        <v>6.8000000000000007</v>
      </c>
      <c r="E79" s="34">
        <f>D79+D80</f>
        <v>9.7000000000000011</v>
      </c>
    </row>
    <row r="80" spans="1:17" hidden="1" x14ac:dyDescent="0.25">
      <c r="A80" s="47" t="s">
        <v>93</v>
      </c>
      <c r="B80" s="48">
        <f>B79</f>
        <v>100</v>
      </c>
      <c r="C80" s="49">
        <v>2.9000000000000001E-2</v>
      </c>
      <c r="D80" s="48">
        <f>B80*C80</f>
        <v>2.9000000000000004</v>
      </c>
      <c r="E80" s="34">
        <f>B79-E79</f>
        <v>90.3</v>
      </c>
    </row>
    <row r="81" spans="1:17" hidden="1" x14ac:dyDescent="0.25"/>
    <row r="82" spans="1:17" hidden="1" x14ac:dyDescent="0.25">
      <c r="G82" s="403">
        <f>'Fusion CFDT '!I47</f>
        <v>0</v>
      </c>
    </row>
    <row r="83" spans="1:17" ht="15.75" x14ac:dyDescent="0.25">
      <c r="A83" s="19" t="s">
        <v>95</v>
      </c>
      <c r="B83" s="5"/>
      <c r="C83" s="48">
        <v>0</v>
      </c>
      <c r="D83" s="6"/>
      <c r="E83" s="7"/>
      <c r="F83" s="4"/>
      <c r="G83" s="19" t="s">
        <v>103</v>
      </c>
      <c r="H83" s="381">
        <v>0.02</v>
      </c>
      <c r="I83" s="34">
        <f>H83*C11+C11</f>
        <v>0</v>
      </c>
    </row>
    <row r="84" spans="1:17" x14ac:dyDescent="0.25">
      <c r="G84" s="19" t="s">
        <v>8</v>
      </c>
      <c r="H84" s="381">
        <v>0.05</v>
      </c>
      <c r="I84" s="34">
        <f>H84*C11+C11</f>
        <v>0</v>
      </c>
    </row>
    <row r="85" spans="1:17" x14ac:dyDescent="0.25">
      <c r="G85" s="19"/>
      <c r="H85" s="381"/>
      <c r="I85" s="34"/>
    </row>
    <row r="86" spans="1:17" ht="18" x14ac:dyDescent="0.25">
      <c r="A86" s="74" t="s">
        <v>106</v>
      </c>
      <c r="B86" s="75"/>
      <c r="C86" s="666" t="s">
        <v>24</v>
      </c>
      <c r="D86" s="666"/>
      <c r="E86" s="666"/>
      <c r="F86" s="667"/>
      <c r="K86" s="676" t="s">
        <v>6</v>
      </c>
      <c r="L86" s="676"/>
      <c r="M86" s="676"/>
      <c r="N86" s="676"/>
      <c r="O86" s="676"/>
    </row>
    <row r="87" spans="1:17" x14ac:dyDescent="0.25">
      <c r="B87" s="677" t="s">
        <v>57</v>
      </c>
      <c r="C87" s="677"/>
      <c r="D87" s="677"/>
      <c r="E87" s="3">
        <v>1</v>
      </c>
      <c r="F87" s="463" t="s">
        <v>58</v>
      </c>
      <c r="G87" s="679" t="s">
        <v>59</v>
      </c>
      <c r="H87" s="673"/>
      <c r="K87" s="670" t="s">
        <v>57</v>
      </c>
      <c r="L87" s="671"/>
      <c r="M87" s="671"/>
      <c r="N87" s="129">
        <v>1</v>
      </c>
      <c r="O87" s="461" t="s">
        <v>58</v>
      </c>
      <c r="P87" s="466" t="s">
        <v>59</v>
      </c>
      <c r="Q87" s="459"/>
    </row>
    <row r="88" spans="1:17" x14ac:dyDescent="0.25">
      <c r="B88" s="462" t="s">
        <v>60</v>
      </c>
      <c r="C88" s="462" t="s">
        <v>61</v>
      </c>
      <c r="D88" s="462" t="s">
        <v>62</v>
      </c>
      <c r="E88" s="678" t="s">
        <v>63</v>
      </c>
      <c r="F88" s="678"/>
      <c r="G88" s="63" t="s">
        <v>38</v>
      </c>
      <c r="H88" s="64" t="s">
        <v>27</v>
      </c>
      <c r="K88" s="464" t="s">
        <v>60</v>
      </c>
      <c r="L88" s="465" t="s">
        <v>61</v>
      </c>
      <c r="M88" s="465" t="s">
        <v>62</v>
      </c>
      <c r="N88" s="460" t="s">
        <v>63</v>
      </c>
      <c r="O88" s="461"/>
      <c r="P88" s="120" t="s">
        <v>38</v>
      </c>
      <c r="Q88" s="64" t="s">
        <v>27</v>
      </c>
    </row>
    <row r="89" spans="1:17" ht="18.75" x14ac:dyDescent="0.3">
      <c r="B89" s="5"/>
      <c r="C89" s="102">
        <f>IF('Simulateur CFDT '!D13='Simulateur CFDT '!P27,C90+C91,C90)</f>
        <v>0</v>
      </c>
      <c r="D89" s="99">
        <f>IF('Simulateur CFDT '!D13='Simulateur CFDT '!P27,C89-G89,C89-G89+C91)</f>
        <v>-49.71611</v>
      </c>
      <c r="E89" s="7"/>
      <c r="F89" s="4">
        <f>SUM(F93:F118)</f>
        <v>155.63</v>
      </c>
      <c r="G89" s="73">
        <f>G95+G102+G116</f>
        <v>49.71611</v>
      </c>
      <c r="H89" s="65">
        <f>F89</f>
        <v>155.63</v>
      </c>
      <c r="K89" s="133"/>
      <c r="L89" s="134">
        <f>C89</f>
        <v>0</v>
      </c>
      <c r="M89" s="135">
        <f>IF('Simulateur CFDT '!D13='Simulateur CFDT '!P27,L89-P89,L89-P89+C91)</f>
        <v>-49.71611</v>
      </c>
      <c r="N89" s="136"/>
      <c r="O89" s="137">
        <f>SUM(O93:O118)</f>
        <v>155.63</v>
      </c>
      <c r="P89" s="121">
        <f>P95+P102+P116</f>
        <v>49.71611</v>
      </c>
      <c r="Q89" s="65">
        <f>O89</f>
        <v>155.63</v>
      </c>
    </row>
    <row r="90" spans="1:17" ht="15.75" x14ac:dyDescent="0.25">
      <c r="A90" s="19" t="s">
        <v>64</v>
      </c>
      <c r="B90" s="5"/>
      <c r="C90" s="103">
        <f>IF('Simulateur CFDT '!D14='Simulateur CFDT '!R20,I84,I83)</f>
        <v>0</v>
      </c>
      <c r="D90" s="6">
        <f>C89-G89</f>
        <v>-49.71611</v>
      </c>
      <c r="E90" s="7"/>
      <c r="F90" s="4"/>
      <c r="G90" s="100" t="e">
        <f>G89/C89</f>
        <v>#DIV/0!</v>
      </c>
      <c r="H90" s="67" t="e">
        <f>H89/C89</f>
        <v>#DIV/0!</v>
      </c>
      <c r="K90" s="133"/>
      <c r="L90" s="138"/>
      <c r="M90" s="138">
        <f>L89-P89</f>
        <v>-49.71611</v>
      </c>
      <c r="N90" s="136"/>
      <c r="O90" s="137"/>
      <c r="P90" s="122" t="e">
        <f>P89/L89</f>
        <v>#DIV/0!</v>
      </c>
      <c r="Q90" s="67" t="e">
        <f>Q89/L89</f>
        <v>#DIV/0!</v>
      </c>
    </row>
    <row r="91" spans="1:17" ht="15.75" x14ac:dyDescent="0.25">
      <c r="A91" s="151" t="s">
        <v>274</v>
      </c>
      <c r="B91" s="5"/>
      <c r="C91" s="80">
        <f>IF('Simulateur CFDT '!D13='Simulateur CFDT '!P26,0,'Simulateur CFDT '!G13)</f>
        <v>0</v>
      </c>
      <c r="D91" s="6"/>
      <c r="E91" s="7"/>
      <c r="F91" s="4"/>
      <c r="K91" s="133"/>
      <c r="L91" s="138"/>
      <c r="M91" s="138"/>
      <c r="N91" s="136"/>
      <c r="O91" s="137"/>
    </row>
    <row r="92" spans="1:17" x14ac:dyDescent="0.25">
      <c r="A92" s="19"/>
      <c r="K92" s="139"/>
      <c r="L92" s="118"/>
      <c r="M92" s="118"/>
      <c r="N92" s="118"/>
      <c r="O92" s="69"/>
    </row>
    <row r="93" spans="1:17" x14ac:dyDescent="0.25">
      <c r="A93" s="86" t="s">
        <v>67</v>
      </c>
      <c r="B93" s="87"/>
      <c r="C93" s="88"/>
      <c r="D93" s="88"/>
      <c r="E93" s="89"/>
      <c r="F93" s="90"/>
      <c r="G93" s="679" t="s">
        <v>68</v>
      </c>
      <c r="H93" s="673"/>
      <c r="K93" s="140"/>
      <c r="L93" s="88"/>
      <c r="M93" s="88"/>
      <c r="N93" s="89"/>
      <c r="O93" s="90"/>
      <c r="P93" s="466" t="s">
        <v>68</v>
      </c>
      <c r="Q93" s="459"/>
    </row>
    <row r="94" spans="1:17" x14ac:dyDescent="0.25">
      <c r="A94" s="56" t="s">
        <v>33</v>
      </c>
      <c r="B94" s="48">
        <f>$E$1</f>
        <v>3428</v>
      </c>
      <c r="C94" s="49">
        <v>1.01E-2</v>
      </c>
      <c r="D94" s="58">
        <f>D15</f>
        <v>34.619999999999997</v>
      </c>
      <c r="E94" s="113">
        <v>4.5920000000000002E-2</v>
      </c>
      <c r="F94" s="82">
        <f>F15</f>
        <v>155.63</v>
      </c>
      <c r="G94" s="63" t="s">
        <v>38</v>
      </c>
      <c r="H94" s="64" t="s">
        <v>27</v>
      </c>
      <c r="K94" s="141">
        <f>B94</f>
        <v>3428</v>
      </c>
      <c r="L94" s="49">
        <v>1.01E-2</v>
      </c>
      <c r="M94" s="58">
        <f>D94</f>
        <v>34.619999999999997</v>
      </c>
      <c r="N94" s="113">
        <v>4.5920000000000002E-2</v>
      </c>
      <c r="O94" s="82">
        <f>O15</f>
        <v>155.63</v>
      </c>
      <c r="P94" s="120" t="s">
        <v>38</v>
      </c>
      <c r="Q94" s="64" t="s">
        <v>27</v>
      </c>
    </row>
    <row r="95" spans="1:17" x14ac:dyDescent="0.25">
      <c r="A95" s="56" t="s">
        <v>69</v>
      </c>
      <c r="B95" s="48">
        <f>$E$1</f>
        <v>3428</v>
      </c>
      <c r="C95" s="105">
        <v>0</v>
      </c>
      <c r="D95" s="58">
        <f>C95*B95</f>
        <v>0</v>
      </c>
      <c r="E95" s="107">
        <v>0</v>
      </c>
      <c r="F95" s="82">
        <f>E95*B95</f>
        <v>0</v>
      </c>
      <c r="G95" s="73">
        <f>D94+D95+D96+D97+D106+D107+D108</f>
        <v>34.619999999999997</v>
      </c>
      <c r="H95" s="65">
        <f>F94+F96+F97+F106+F107+F108</f>
        <v>155.63</v>
      </c>
      <c r="K95" s="142">
        <f>B95</f>
        <v>3428</v>
      </c>
      <c r="L95" s="105">
        <v>0</v>
      </c>
      <c r="M95" s="106">
        <f>L95*K95</f>
        <v>0</v>
      </c>
      <c r="N95" s="107">
        <v>0</v>
      </c>
      <c r="O95" s="108">
        <f>N95*K95</f>
        <v>0</v>
      </c>
      <c r="P95" s="123">
        <f>M94+M95+M96+M97+M106+M107+M108</f>
        <v>34.619999999999997</v>
      </c>
      <c r="Q95" s="114">
        <f>O94+O96+O97+O106+O107+O108</f>
        <v>155.63</v>
      </c>
    </row>
    <row r="96" spans="1:17" x14ac:dyDescent="0.25">
      <c r="A96" s="56" t="s">
        <v>70</v>
      </c>
      <c r="B96" s="48">
        <f>IF(C89&gt;$E$1,$E$1, C89)</f>
        <v>0</v>
      </c>
      <c r="C96" s="49">
        <v>1.6999999999999999E-3</v>
      </c>
      <c r="D96" s="58">
        <f>C96*B96</f>
        <v>0</v>
      </c>
      <c r="E96" s="50">
        <v>8.3000000000000001E-3</v>
      </c>
      <c r="F96" s="82">
        <f>E96*B96</f>
        <v>0</v>
      </c>
      <c r="G96" s="116" t="e">
        <f>G95/C89</f>
        <v>#DIV/0!</v>
      </c>
      <c r="H96" s="117" t="e">
        <f>H95/C89</f>
        <v>#DIV/0!</v>
      </c>
      <c r="K96" s="141">
        <f>IF(L89&gt;$E$1,$E$1, L89)</f>
        <v>0</v>
      </c>
      <c r="L96" s="49">
        <v>1.6999999999999999E-3</v>
      </c>
      <c r="M96" s="58">
        <f>L96*K96</f>
        <v>0</v>
      </c>
      <c r="N96" s="50">
        <v>8.3000000000000001E-3</v>
      </c>
      <c r="O96" s="82">
        <f>N96*K96</f>
        <v>0</v>
      </c>
      <c r="P96" s="124" t="e">
        <f>P95/L89</f>
        <v>#DIV/0!</v>
      </c>
      <c r="Q96" s="67" t="e">
        <f>Q95/L89</f>
        <v>#DIV/0!</v>
      </c>
    </row>
    <row r="97" spans="1:18" x14ac:dyDescent="0.25">
      <c r="A97" s="56" t="s">
        <v>71</v>
      </c>
      <c r="B97" s="48">
        <f>IF((B98-B96)&lt;0,0,IF((B98-B96)&lt;$G$1,B98-B96,$G$1))</f>
        <v>0</v>
      </c>
      <c r="C97" s="49">
        <v>6.0000000000000001E-3</v>
      </c>
      <c r="D97" s="58">
        <f>C97*B97</f>
        <v>0</v>
      </c>
      <c r="E97" s="50">
        <v>6.0000000000000001E-3</v>
      </c>
      <c r="F97" s="115">
        <f t="shared" ref="F97" si="22">E97*B97</f>
        <v>0</v>
      </c>
      <c r="G97" s="158">
        <f>D94+D95</f>
        <v>34.619999999999997</v>
      </c>
      <c r="H97" s="154">
        <f>F94+F95</f>
        <v>155.63</v>
      </c>
      <c r="I97" s="1" t="s">
        <v>33</v>
      </c>
      <c r="K97" s="141">
        <f>IF((K98-K96)&lt;0,0,IF((K98-K96)&lt;$G$1,K98-K96,$G$1))</f>
        <v>0</v>
      </c>
      <c r="L97" s="49">
        <v>6.0000000000000001E-3</v>
      </c>
      <c r="M97" s="58">
        <f>L97*K97</f>
        <v>0</v>
      </c>
      <c r="N97" s="50">
        <v>6.0000000000000001E-3</v>
      </c>
      <c r="O97" s="82">
        <f t="shared" ref="O97" si="23">N97*K97</f>
        <v>0</v>
      </c>
      <c r="P97" s="158">
        <f>M94+M95</f>
        <v>34.619999999999997</v>
      </c>
      <c r="Q97" s="154">
        <f>O94+O95</f>
        <v>155.63</v>
      </c>
      <c r="R97" s="1" t="s">
        <v>33</v>
      </c>
    </row>
    <row r="98" spans="1:18" x14ac:dyDescent="0.25">
      <c r="A98" s="46" t="s">
        <v>72</v>
      </c>
      <c r="B98" s="77">
        <f>C89</f>
        <v>0</v>
      </c>
      <c r="C98" s="76"/>
      <c r="D98" s="52"/>
      <c r="E98" s="54">
        <v>0.12999901640594699</v>
      </c>
      <c r="F98" s="68">
        <f>E98*B98</f>
        <v>0</v>
      </c>
      <c r="G98" s="159">
        <f>D96+D97</f>
        <v>0</v>
      </c>
      <c r="H98" s="160">
        <f>F96+F97</f>
        <v>0</v>
      </c>
      <c r="I98" s="1" t="s">
        <v>34</v>
      </c>
      <c r="K98" s="184">
        <f>L89+L91</f>
        <v>0</v>
      </c>
      <c r="L98" s="76"/>
      <c r="M98" s="52"/>
      <c r="N98" s="54">
        <v>0.12999901640594699</v>
      </c>
      <c r="O98" s="55">
        <f>N98*K98</f>
        <v>0</v>
      </c>
      <c r="P98" s="159">
        <f>M96+M97</f>
        <v>0</v>
      </c>
      <c r="Q98" s="160">
        <f>O96+O97</f>
        <v>0</v>
      </c>
      <c r="R98" s="1" t="s">
        <v>34</v>
      </c>
    </row>
    <row r="99" spans="1:18" x14ac:dyDescent="0.25">
      <c r="A99" s="79" t="s">
        <v>73</v>
      </c>
      <c r="B99" s="42">
        <f>B98</f>
        <v>0</v>
      </c>
      <c r="C99" s="43"/>
      <c r="D99" s="43"/>
      <c r="E99" s="44">
        <v>7.7000000000000002E-3</v>
      </c>
      <c r="F99" s="45">
        <f>E99*B99</f>
        <v>0</v>
      </c>
      <c r="K99" s="143">
        <f>K98</f>
        <v>0</v>
      </c>
      <c r="L99" s="43"/>
      <c r="M99" s="43"/>
      <c r="N99" s="44">
        <v>7.7000000000000002E-3</v>
      </c>
      <c r="O99" s="45">
        <f>N99*K99</f>
        <v>0</v>
      </c>
    </row>
    <row r="100" spans="1:18" x14ac:dyDescent="0.25">
      <c r="A100" s="86" t="s">
        <v>74</v>
      </c>
      <c r="B100" s="87"/>
      <c r="C100" s="88"/>
      <c r="D100" s="88"/>
      <c r="E100" s="89"/>
      <c r="F100" s="90"/>
      <c r="G100" s="679" t="s">
        <v>75</v>
      </c>
      <c r="H100" s="673"/>
      <c r="K100" s="140"/>
      <c r="L100" s="88"/>
      <c r="M100" s="88"/>
      <c r="N100" s="89"/>
      <c r="O100" s="90"/>
      <c r="P100" s="466" t="s">
        <v>75</v>
      </c>
      <c r="Q100" s="459"/>
    </row>
    <row r="101" spans="1:18" x14ac:dyDescent="0.25">
      <c r="A101" s="91" t="s">
        <v>76</v>
      </c>
      <c r="B101" s="92">
        <f>B96</f>
        <v>0</v>
      </c>
      <c r="C101" s="93">
        <v>6.9000000000000006E-2</v>
      </c>
      <c r="D101" s="92">
        <f t="shared" ref="D101:D108" si="24">C101*B101</f>
        <v>0</v>
      </c>
      <c r="E101" s="94">
        <v>8.5498833138856464E-2</v>
      </c>
      <c r="F101" s="95">
        <f t="shared" ref="F101:F102" si="25">E101*B101</f>
        <v>0</v>
      </c>
      <c r="G101" s="63" t="s">
        <v>38</v>
      </c>
      <c r="H101" s="64" t="s">
        <v>27</v>
      </c>
      <c r="K101" s="206">
        <f>K96</f>
        <v>0</v>
      </c>
      <c r="L101" s="93">
        <v>6.9000000000000006E-2</v>
      </c>
      <c r="M101" s="92">
        <f t="shared" ref="M101:M108" si="26">L101*K101</f>
        <v>0</v>
      </c>
      <c r="N101" s="94">
        <v>8.5498833138856464E-2</v>
      </c>
      <c r="O101" s="95">
        <f t="shared" ref="O101:O102" si="27">N101*K101</f>
        <v>0</v>
      </c>
      <c r="P101" s="120" t="s">
        <v>38</v>
      </c>
      <c r="Q101" s="64" t="s">
        <v>27</v>
      </c>
    </row>
    <row r="102" spans="1:18" x14ac:dyDescent="0.25">
      <c r="A102" s="47" t="s">
        <v>77</v>
      </c>
      <c r="B102" s="84">
        <f>B98</f>
        <v>0</v>
      </c>
      <c r="C102" s="85">
        <v>4.0000000000000001E-3</v>
      </c>
      <c r="D102" s="84">
        <f t="shared" si="24"/>
        <v>0</v>
      </c>
      <c r="E102" s="50">
        <v>1.899942389491201E-2</v>
      </c>
      <c r="F102" s="51">
        <f t="shared" si="25"/>
        <v>0</v>
      </c>
      <c r="G102" s="73">
        <f>D101+D102+D103+D104+D105+D111+D112</f>
        <v>0</v>
      </c>
      <c r="H102" s="65"/>
      <c r="K102" s="145">
        <f>K98</f>
        <v>0</v>
      </c>
      <c r="L102" s="85">
        <v>4.0000000000000001E-3</v>
      </c>
      <c r="M102" s="84">
        <f t="shared" si="26"/>
        <v>0</v>
      </c>
      <c r="N102" s="50">
        <v>1.899942389491201E-2</v>
      </c>
      <c r="O102" s="51">
        <f t="shared" si="27"/>
        <v>0</v>
      </c>
      <c r="P102" s="123">
        <f>M101+M102+M103+M104+M105+M111+M112</f>
        <v>0</v>
      </c>
      <c r="Q102" s="65"/>
    </row>
    <row r="103" spans="1:18" x14ac:dyDescent="0.25">
      <c r="A103" s="47" t="s">
        <v>78</v>
      </c>
      <c r="B103" s="48">
        <f>B101</f>
        <v>0</v>
      </c>
      <c r="C103" s="49">
        <v>4.0099999999999997E-2</v>
      </c>
      <c r="D103" s="48">
        <f t="shared" si="24"/>
        <v>0</v>
      </c>
      <c r="E103" s="50">
        <v>6.0099183197199535E-2</v>
      </c>
      <c r="F103" s="51">
        <f>E103*B103</f>
        <v>0</v>
      </c>
      <c r="G103" s="66" t="e">
        <f>G102/C89</f>
        <v>#DIV/0!</v>
      </c>
      <c r="H103" s="67"/>
      <c r="K103" s="141">
        <f>K101</f>
        <v>0</v>
      </c>
      <c r="L103" s="49">
        <v>4.0099999999999997E-2</v>
      </c>
      <c r="M103" s="48">
        <f t="shared" si="26"/>
        <v>0</v>
      </c>
      <c r="N103" s="50">
        <v>6.0099183197199535E-2</v>
      </c>
      <c r="O103" s="51">
        <f>N103*K103</f>
        <v>0</v>
      </c>
      <c r="P103" s="124" t="e">
        <f>P102/L89</f>
        <v>#DIV/0!</v>
      </c>
      <c r="Q103" s="67"/>
    </row>
    <row r="104" spans="1:18" x14ac:dyDescent="0.25">
      <c r="A104" s="47" t="s">
        <v>79</v>
      </c>
      <c r="B104" s="48">
        <f>B97</f>
        <v>0</v>
      </c>
      <c r="C104" s="49">
        <v>9.7199999999999995E-2</v>
      </c>
      <c r="D104" s="48">
        <f t="shared" si="24"/>
        <v>0</v>
      </c>
      <c r="E104" s="50">
        <v>0.145705</v>
      </c>
      <c r="F104" s="51">
        <f>E104*B104</f>
        <v>0</v>
      </c>
      <c r="K104" s="141">
        <f>K97</f>
        <v>0</v>
      </c>
      <c r="L104" s="49">
        <v>9.7199999999999995E-2</v>
      </c>
      <c r="M104" s="48">
        <f t="shared" si="26"/>
        <v>0</v>
      </c>
      <c r="N104" s="50">
        <v>0.145705</v>
      </c>
      <c r="O104" s="51">
        <f>N104*K104</f>
        <v>0</v>
      </c>
    </row>
    <row r="105" spans="1:18" x14ac:dyDescent="0.25">
      <c r="A105" s="81" t="s">
        <v>80</v>
      </c>
      <c r="B105" s="48">
        <f>B102</f>
        <v>0</v>
      </c>
      <c r="C105" s="49">
        <v>1.4E-3</v>
      </c>
      <c r="D105" s="48">
        <f t="shared" si="24"/>
        <v>0</v>
      </c>
      <c r="E105" s="50">
        <v>2.0996722022269378E-3</v>
      </c>
      <c r="F105" s="51">
        <f t="shared" ref="F105:F108" si="28">E105*B105</f>
        <v>0</v>
      </c>
      <c r="K105" s="141">
        <f>K102</f>
        <v>0</v>
      </c>
      <c r="L105" s="49">
        <v>0</v>
      </c>
      <c r="M105" s="48">
        <f t="shared" si="26"/>
        <v>0</v>
      </c>
      <c r="N105" s="50">
        <v>2.0996722022269378E-3</v>
      </c>
      <c r="O105" s="51">
        <f t="shared" ref="O105:O108" si="29">N105*K105</f>
        <v>0</v>
      </c>
    </row>
    <row r="106" spans="1:18" x14ac:dyDescent="0.25">
      <c r="A106" s="56" t="s">
        <v>81</v>
      </c>
      <c r="B106" s="48">
        <f>B103</f>
        <v>0</v>
      </c>
      <c r="C106" s="49">
        <v>0.01</v>
      </c>
      <c r="D106" s="59">
        <f t="shared" si="24"/>
        <v>0</v>
      </c>
      <c r="E106" s="50">
        <v>0.05</v>
      </c>
      <c r="F106" s="82">
        <f t="shared" si="28"/>
        <v>0</v>
      </c>
      <c r="G106" s="153">
        <f>D106+D107+D108</f>
        <v>0</v>
      </c>
      <c r="H106" s="154">
        <f>F106+F107+F108</f>
        <v>0</v>
      </c>
      <c r="I106" s="1" t="s">
        <v>97</v>
      </c>
      <c r="K106" s="141">
        <f>K103</f>
        <v>0</v>
      </c>
      <c r="L106" s="49">
        <v>0</v>
      </c>
      <c r="M106" s="59">
        <f t="shared" si="26"/>
        <v>0</v>
      </c>
      <c r="N106" s="50">
        <v>0.05</v>
      </c>
      <c r="O106" s="82">
        <f t="shared" si="29"/>
        <v>0</v>
      </c>
      <c r="P106" s="153">
        <f>M106+M107+M108</f>
        <v>0</v>
      </c>
      <c r="Q106" s="154">
        <f>O106+O107+O108</f>
        <v>0</v>
      </c>
      <c r="R106" s="1" t="s">
        <v>35</v>
      </c>
    </row>
    <row r="107" spans="1:18" x14ac:dyDescent="0.25">
      <c r="A107" s="56" t="s">
        <v>82</v>
      </c>
      <c r="B107" s="48">
        <f>B97</f>
        <v>0</v>
      </c>
      <c r="C107" s="49">
        <v>0.01</v>
      </c>
      <c r="D107" s="59">
        <f t="shared" si="24"/>
        <v>0</v>
      </c>
      <c r="E107" s="50">
        <v>0.05</v>
      </c>
      <c r="F107" s="82">
        <f t="shared" si="28"/>
        <v>0</v>
      </c>
      <c r="K107" s="141">
        <f>K97</f>
        <v>0</v>
      </c>
      <c r="L107" s="49">
        <v>0</v>
      </c>
      <c r="M107" s="59">
        <f t="shared" si="26"/>
        <v>0</v>
      </c>
      <c r="N107" s="50">
        <v>0.05</v>
      </c>
      <c r="O107" s="82">
        <f t="shared" si="29"/>
        <v>0</v>
      </c>
      <c r="P107" s="125"/>
      <c r="Q107" s="119">
        <f>P106+Q106</f>
        <v>0</v>
      </c>
    </row>
    <row r="108" spans="1:18" x14ac:dyDescent="0.25">
      <c r="A108" s="57" t="s">
        <v>83</v>
      </c>
      <c r="B108" s="52">
        <f>IF(B61&gt;0,  IF((B61+B98-B96-B97)&gt;=$G$1,B98-B96-B97,0), 0 )</f>
        <v>0</v>
      </c>
      <c r="C108" s="53">
        <v>0.01</v>
      </c>
      <c r="D108" s="60">
        <f t="shared" si="24"/>
        <v>0</v>
      </c>
      <c r="E108" s="54">
        <v>0.05</v>
      </c>
      <c r="F108" s="83">
        <f t="shared" si="28"/>
        <v>0</v>
      </c>
      <c r="H108" s="34"/>
      <c r="K108" s="146">
        <f>IF($G$1=K107, K98-K97-K96, 0 )</f>
        <v>0</v>
      </c>
      <c r="L108" s="53">
        <v>0</v>
      </c>
      <c r="M108" s="60">
        <f t="shared" si="26"/>
        <v>0</v>
      </c>
      <c r="N108" s="54">
        <v>0.05</v>
      </c>
      <c r="O108" s="83">
        <f t="shared" si="29"/>
        <v>0</v>
      </c>
      <c r="Q108" s="34"/>
    </row>
    <row r="109" spans="1:18" x14ac:dyDescent="0.25">
      <c r="A109" s="79" t="s">
        <v>84</v>
      </c>
      <c r="B109" s="42">
        <f>B98</f>
        <v>0</v>
      </c>
      <c r="C109" s="43"/>
      <c r="D109" s="43"/>
      <c r="E109" s="44">
        <v>5.2499999999999998E-2</v>
      </c>
      <c r="F109" s="45">
        <f>E109*B109</f>
        <v>0</v>
      </c>
      <c r="K109" s="143">
        <f>K98</f>
        <v>0</v>
      </c>
      <c r="L109" s="43"/>
      <c r="M109" s="43"/>
      <c r="N109" s="44">
        <v>5.2499999999999998E-2</v>
      </c>
      <c r="O109" s="45">
        <f>N109*K109</f>
        <v>0</v>
      </c>
      <c r="Q109" s="34"/>
    </row>
    <row r="110" spans="1:18" x14ac:dyDescent="0.25">
      <c r="A110" s="86" t="s">
        <v>85</v>
      </c>
      <c r="B110" s="87"/>
      <c r="C110" s="88"/>
      <c r="D110" s="88"/>
      <c r="E110" s="89"/>
      <c r="F110" s="90"/>
      <c r="K110" s="140"/>
      <c r="L110" s="88"/>
      <c r="M110" s="88"/>
      <c r="N110" s="89"/>
      <c r="O110" s="90"/>
      <c r="Q110" s="34"/>
    </row>
    <row r="111" spans="1:18" x14ac:dyDescent="0.25">
      <c r="A111" s="91" t="s">
        <v>86</v>
      </c>
      <c r="B111" s="92">
        <f>B98</f>
        <v>0</v>
      </c>
      <c r="C111" s="93">
        <v>2.4000000000000001E-4</v>
      </c>
      <c r="D111" s="92">
        <f>C111*B111</f>
        <v>0</v>
      </c>
      <c r="E111" s="94">
        <v>3.5931292944418913E-4</v>
      </c>
      <c r="F111" s="95">
        <f>E111*B111</f>
        <v>0</v>
      </c>
      <c r="K111" s="144">
        <f>K98</f>
        <v>0</v>
      </c>
      <c r="L111" s="93">
        <v>0</v>
      </c>
      <c r="M111" s="92">
        <f>L111*K111</f>
        <v>0</v>
      </c>
      <c r="N111" s="94">
        <v>3.5931292944418913E-4</v>
      </c>
      <c r="O111" s="95">
        <f>N111*K111</f>
        <v>0</v>
      </c>
      <c r="Q111" s="34"/>
    </row>
    <row r="112" spans="1:18" x14ac:dyDescent="0.25">
      <c r="A112" s="47" t="s">
        <v>87</v>
      </c>
      <c r="B112" s="48">
        <f>B111</f>
        <v>0</v>
      </c>
      <c r="C112" s="49">
        <f>C33</f>
        <v>0</v>
      </c>
      <c r="D112" s="48">
        <f t="shared" ref="D112" si="30">C112*B112</f>
        <v>0</v>
      </c>
      <c r="E112" s="50"/>
      <c r="F112" s="51"/>
      <c r="K112" s="141">
        <f>K111</f>
        <v>0</v>
      </c>
      <c r="L112" s="49">
        <f>C112</f>
        <v>0</v>
      </c>
      <c r="M112" s="48">
        <f t="shared" ref="M112" si="31">L112*K112</f>
        <v>0</v>
      </c>
      <c r="N112" s="50"/>
      <c r="O112" s="51"/>
      <c r="Q112" s="34"/>
    </row>
    <row r="113" spans="1:17" x14ac:dyDescent="0.25">
      <c r="A113" s="46" t="s">
        <v>88</v>
      </c>
      <c r="B113" s="52">
        <f>B98</f>
        <v>0</v>
      </c>
      <c r="C113" s="53"/>
      <c r="D113" s="52">
        <f>C113*B113</f>
        <v>0</v>
      </c>
      <c r="E113" s="54">
        <v>4.1999466048942842E-2</v>
      </c>
      <c r="F113" s="55">
        <f t="shared" ref="F113" si="32">E113*B113</f>
        <v>0</v>
      </c>
      <c r="K113" s="146">
        <f>K98</f>
        <v>0</v>
      </c>
      <c r="L113" s="53"/>
      <c r="M113" s="52">
        <f>L113*K113</f>
        <v>0</v>
      </c>
      <c r="N113" s="54">
        <v>4.1999466048942842E-2</v>
      </c>
      <c r="O113" s="55">
        <f t="shared" ref="O113" si="33">N113*K113</f>
        <v>0</v>
      </c>
    </row>
    <row r="114" spans="1:17" x14ac:dyDescent="0.25">
      <c r="A114" s="86" t="s">
        <v>89</v>
      </c>
      <c r="B114" s="87">
        <f>C89*$I$1+H95</f>
        <v>155.63</v>
      </c>
      <c r="C114" s="88"/>
      <c r="D114" s="88"/>
      <c r="E114" s="89">
        <v>6.6242245000000005E-2</v>
      </c>
      <c r="F114" s="90">
        <f>E114*B115</f>
        <v>0</v>
      </c>
      <c r="G114" s="679" t="s">
        <v>90</v>
      </c>
      <c r="H114" s="673"/>
      <c r="K114" s="140">
        <f>L89*$I$1+Q95</f>
        <v>155.63</v>
      </c>
      <c r="L114" s="88"/>
      <c r="M114" s="88"/>
      <c r="N114" s="89">
        <v>6.6242245000000005E-2</v>
      </c>
      <c r="O114" s="90">
        <f>N114*K115</f>
        <v>0</v>
      </c>
      <c r="P114" s="466" t="s">
        <v>90</v>
      </c>
      <c r="Q114" s="459"/>
    </row>
    <row r="115" spans="1:17" x14ac:dyDescent="0.25">
      <c r="A115" s="91" t="s">
        <v>91</v>
      </c>
      <c r="B115" s="84">
        <f>B98</f>
        <v>0</v>
      </c>
      <c r="C115" s="85"/>
      <c r="D115" s="84"/>
      <c r="E115" s="50">
        <v>2.0999999999999999E-3</v>
      </c>
      <c r="F115" s="51">
        <f>E115*B115</f>
        <v>0</v>
      </c>
      <c r="G115" s="71" t="s">
        <v>38</v>
      </c>
      <c r="H115" s="72" t="s">
        <v>27</v>
      </c>
      <c r="K115" s="145">
        <f>K98</f>
        <v>0</v>
      </c>
      <c r="L115" s="85"/>
      <c r="M115" s="84"/>
      <c r="N115" s="50">
        <v>2.0999999999999999E-3</v>
      </c>
      <c r="O115" s="51">
        <f>N115*K115</f>
        <v>0</v>
      </c>
      <c r="P115" s="126" t="s">
        <v>38</v>
      </c>
      <c r="Q115" s="72" t="s">
        <v>27</v>
      </c>
    </row>
    <row r="116" spans="1:17" x14ac:dyDescent="0.25">
      <c r="A116" s="47" t="s">
        <v>92</v>
      </c>
      <c r="B116" s="48">
        <f>B114</f>
        <v>155.63</v>
      </c>
      <c r="C116" s="49">
        <v>6.8000000000000005E-2</v>
      </c>
      <c r="D116" s="48">
        <f>B116*C116</f>
        <v>10.582840000000001</v>
      </c>
      <c r="E116" s="97"/>
      <c r="F116" s="96"/>
      <c r="G116" s="98">
        <f>D116+D117</f>
        <v>15.096110000000001</v>
      </c>
      <c r="H116" s="65"/>
      <c r="K116" s="141">
        <f>K114</f>
        <v>155.63</v>
      </c>
      <c r="L116" s="49">
        <v>6.8000000000000005E-2</v>
      </c>
      <c r="M116" s="48">
        <f>K116*L116</f>
        <v>10.582840000000001</v>
      </c>
      <c r="N116" s="97"/>
      <c r="O116" s="96"/>
      <c r="P116" s="121">
        <f>M116+M117</f>
        <v>15.096110000000001</v>
      </c>
      <c r="Q116" s="65"/>
    </row>
    <row r="117" spans="1:17" x14ac:dyDescent="0.25">
      <c r="A117" s="47" t="s">
        <v>93</v>
      </c>
      <c r="B117" s="48">
        <f>B116</f>
        <v>155.63</v>
      </c>
      <c r="C117" s="49">
        <v>2.9000000000000001E-2</v>
      </c>
      <c r="D117" s="48">
        <f>B117*C117</f>
        <v>4.5132700000000003</v>
      </c>
      <c r="E117" s="97"/>
      <c r="F117" s="96"/>
      <c r="G117" s="66" t="e">
        <f>G116/C89</f>
        <v>#DIV/0!</v>
      </c>
      <c r="H117" s="70"/>
      <c r="K117" s="141">
        <f>K116</f>
        <v>155.63</v>
      </c>
      <c r="L117" s="49">
        <v>2.9000000000000001E-2</v>
      </c>
      <c r="M117" s="48">
        <f>K117*L117</f>
        <v>4.5132700000000003</v>
      </c>
      <c r="N117" s="97"/>
      <c r="O117" s="96"/>
      <c r="P117" s="124" t="e">
        <f>P116/L89</f>
        <v>#DIV/0!</v>
      </c>
      <c r="Q117" s="70"/>
    </row>
    <row r="118" spans="1:17" x14ac:dyDescent="0.25">
      <c r="A118" s="109" t="s">
        <v>94</v>
      </c>
      <c r="B118" s="110">
        <v>0</v>
      </c>
      <c r="C118" s="111">
        <v>9.7000000000000003E-2</v>
      </c>
      <c r="D118" s="110">
        <f>C118*B118</f>
        <v>0</v>
      </c>
      <c r="E118" s="112"/>
      <c r="F118" s="101"/>
      <c r="K118" s="147">
        <v>0</v>
      </c>
      <c r="L118" s="111">
        <v>9.7000000000000003E-2</v>
      </c>
      <c r="M118" s="110">
        <f>L118*K118</f>
        <v>0</v>
      </c>
      <c r="N118" s="112"/>
      <c r="O118" s="101"/>
    </row>
  </sheetData>
  <mergeCells count="39">
    <mergeCell ref="G100:H100"/>
    <mergeCell ref="G114:H114"/>
    <mergeCell ref="K86:O86"/>
    <mergeCell ref="K87:M87"/>
    <mergeCell ref="C86:F86"/>
    <mergeCell ref="B87:D87"/>
    <mergeCell ref="G87:H87"/>
    <mergeCell ref="E88:F88"/>
    <mergeCell ref="G93:H93"/>
    <mergeCell ref="G58:H58"/>
    <mergeCell ref="G71:H71"/>
    <mergeCell ref="P45:Q45"/>
    <mergeCell ref="P51:Q51"/>
    <mergeCell ref="P58:Q58"/>
    <mergeCell ref="P71:Q71"/>
    <mergeCell ref="N46:O46"/>
    <mergeCell ref="C44:F44"/>
    <mergeCell ref="B45:D45"/>
    <mergeCell ref="E46:F46"/>
    <mergeCell ref="G51:H51"/>
    <mergeCell ref="K44:O44"/>
    <mergeCell ref="K45:M45"/>
    <mergeCell ref="G45:H45"/>
    <mergeCell ref="K6:O6"/>
    <mergeCell ref="G21:H21"/>
    <mergeCell ref="G35:H35"/>
    <mergeCell ref="K7:M7"/>
    <mergeCell ref="K8:M8"/>
    <mergeCell ref="G14:H14"/>
    <mergeCell ref="P8:Q8"/>
    <mergeCell ref="N9:O9"/>
    <mergeCell ref="P14:Q14"/>
    <mergeCell ref="P21:Q21"/>
    <mergeCell ref="P35:Q35"/>
    <mergeCell ref="C6:F6"/>
    <mergeCell ref="B7:D7"/>
    <mergeCell ref="B8:D8"/>
    <mergeCell ref="G8:H8"/>
    <mergeCell ref="E9:F9"/>
  </mergeCells>
  <pageMargins left="0.70000000000000007" right="0.70000000000000007" top="0.75" bottom="0.75" header="0.30000000000000004" footer="0.30000000000000004"/>
  <pageSetup fitToWidth="0" fitToHeight="0" orientation="portrait" r:id="rId1"/>
  <headerFooter>
    <oddHeader>&amp;R&amp;"Calibri"&amp;12&amp;KFF8C00CONFIDENTIAL &amp;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A9D1-C4F1-4341-B44C-475078E70B5A}">
  <dimension ref="A1:T116"/>
  <sheetViews>
    <sheetView topLeftCell="A29" zoomScale="80" zoomScaleNormal="80" workbookViewId="0">
      <selection activeCell="F3" sqref="F3"/>
    </sheetView>
  </sheetViews>
  <sheetFormatPr defaultColWidth="9.140625" defaultRowHeight="15" x14ac:dyDescent="0.25"/>
  <cols>
    <col min="1" max="1" width="34.28515625" style="1" customWidth="1"/>
    <col min="2" max="2" width="14.7109375" style="1" bestFit="1" customWidth="1"/>
    <col min="3" max="3" width="14.85546875" style="1" bestFit="1" customWidth="1"/>
    <col min="4" max="4" width="13.42578125" style="1" bestFit="1" customWidth="1"/>
    <col min="5" max="5" width="11.28515625" style="1" bestFit="1" customWidth="1"/>
    <col min="6" max="6" width="14.7109375" style="1" bestFit="1" customWidth="1"/>
    <col min="7" max="7" width="12.85546875" style="1" customWidth="1"/>
    <col min="8" max="8" width="14.85546875" style="1" bestFit="1" customWidth="1"/>
    <col min="9" max="10" width="13" style="1" customWidth="1"/>
    <col min="11" max="11" width="35" style="1" customWidth="1"/>
    <col min="12" max="16" width="14.7109375" style="1" customWidth="1"/>
    <col min="17" max="17" width="14.28515625" style="1" customWidth="1"/>
    <col min="18" max="18" width="16.85546875" style="1" customWidth="1"/>
    <col min="19" max="19" width="9.140625" style="1"/>
    <col min="20" max="20" width="11" style="1" bestFit="1" customWidth="1"/>
    <col min="21" max="16384" width="9.140625" style="1"/>
  </cols>
  <sheetData>
    <row r="1" spans="1:9" x14ac:dyDescent="0.25">
      <c r="A1" s="16" t="s">
        <v>50</v>
      </c>
      <c r="B1" s="15">
        <v>82272</v>
      </c>
      <c r="D1" s="37" t="s">
        <v>51</v>
      </c>
      <c r="E1" s="15">
        <v>3428</v>
      </c>
      <c r="F1" s="37" t="s">
        <v>52</v>
      </c>
      <c r="G1" s="15">
        <v>13712</v>
      </c>
      <c r="H1" s="37" t="s">
        <v>53</v>
      </c>
      <c r="I1" s="35">
        <v>0.98250000000000004</v>
      </c>
    </row>
    <row r="2" spans="1:9" x14ac:dyDescent="0.25">
      <c r="A2" s="16"/>
      <c r="B2" s="15"/>
      <c r="D2" s="384" t="s">
        <v>33</v>
      </c>
      <c r="E2" s="385" t="s">
        <v>54</v>
      </c>
      <c r="F2" s="37"/>
      <c r="G2" s="15"/>
      <c r="H2" s="37"/>
      <c r="I2" s="35"/>
    </row>
    <row r="3" spans="1:9" x14ac:dyDescent="0.25">
      <c r="A3" s="16"/>
      <c r="B3" s="15"/>
      <c r="C3" s="382" t="s">
        <v>16</v>
      </c>
      <c r="D3" s="383">
        <v>57.25</v>
      </c>
      <c r="E3" s="386">
        <v>0</v>
      </c>
      <c r="F3" s="383">
        <v>69.930000000000007</v>
      </c>
      <c r="G3" s="15"/>
      <c r="H3" s="37"/>
      <c r="I3" s="35"/>
    </row>
    <row r="4" spans="1:9" x14ac:dyDescent="0.25">
      <c r="A4" s="61"/>
      <c r="B4" s="62"/>
      <c r="C4" s="382" t="s">
        <v>10</v>
      </c>
      <c r="D4" s="412">
        <f>D3</f>
        <v>57.25</v>
      </c>
      <c r="E4" s="386">
        <v>1.4999999999999999E-2</v>
      </c>
      <c r="F4" s="412">
        <f>F3*'Amadeus France'!H3</f>
        <v>55.436754796320635</v>
      </c>
      <c r="H4" s="15"/>
    </row>
    <row r="5" spans="1:9" x14ac:dyDescent="0.25">
      <c r="A5" s="61"/>
      <c r="B5" s="61"/>
      <c r="C5" s="61"/>
      <c r="D5" s="61"/>
      <c r="E5" s="61"/>
      <c r="F5" s="16"/>
      <c r="H5" s="15"/>
    </row>
    <row r="6" spans="1:9" ht="18" x14ac:dyDescent="0.25">
      <c r="A6" s="74" t="s">
        <v>100</v>
      </c>
      <c r="B6" s="75"/>
      <c r="C6" s="666" t="s">
        <v>101</v>
      </c>
      <c r="D6" s="666"/>
      <c r="E6" s="666"/>
      <c r="F6" s="667"/>
    </row>
    <row r="7" spans="1:9" x14ac:dyDescent="0.25">
      <c r="B7" s="677" t="s">
        <v>56</v>
      </c>
      <c r="C7" s="677"/>
      <c r="D7" s="677"/>
      <c r="E7" s="2"/>
      <c r="F7" s="2"/>
    </row>
    <row r="8" spans="1:9" x14ac:dyDescent="0.25">
      <c r="B8" s="677" t="s">
        <v>57</v>
      </c>
      <c r="C8" s="677"/>
      <c r="D8" s="677"/>
      <c r="E8" s="3">
        <v>1</v>
      </c>
      <c r="F8" s="2" t="s">
        <v>58</v>
      </c>
      <c r="G8" s="679" t="s">
        <v>59</v>
      </c>
      <c r="H8" s="673"/>
    </row>
    <row r="9" spans="1:9" x14ac:dyDescent="0.25">
      <c r="B9" s="41" t="s">
        <v>60</v>
      </c>
      <c r="C9" s="41" t="s">
        <v>61</v>
      </c>
      <c r="D9" s="41" t="s">
        <v>62</v>
      </c>
      <c r="E9" s="678" t="s">
        <v>63</v>
      </c>
      <c r="F9" s="678"/>
      <c r="G9" s="63" t="s">
        <v>38</v>
      </c>
      <c r="H9" s="64" t="s">
        <v>27</v>
      </c>
    </row>
    <row r="10" spans="1:9" ht="18.75" x14ac:dyDescent="0.3">
      <c r="B10" s="5"/>
      <c r="C10" s="102">
        <f>C11+C12</f>
        <v>1.8499999999999999</v>
      </c>
      <c r="D10" s="99">
        <f>C10-G10</f>
        <v>-64.858936617500007</v>
      </c>
      <c r="E10" s="7"/>
      <c r="F10" s="4">
        <f>SUM(F14:F39)</f>
        <v>72.670307232712432</v>
      </c>
      <c r="G10" s="73">
        <f>G16+G23+G37</f>
        <v>66.708936617500001</v>
      </c>
      <c r="H10" s="65">
        <f>F10</f>
        <v>72.670307232712432</v>
      </c>
    </row>
    <row r="11" spans="1:9" ht="15.75" x14ac:dyDescent="0.25">
      <c r="A11" s="19" t="s">
        <v>64</v>
      </c>
      <c r="B11" s="5"/>
      <c r="C11" s="103">
        <f>'Simulateur CFDT '!G12</f>
        <v>0</v>
      </c>
      <c r="D11" s="6"/>
      <c r="E11" s="7"/>
      <c r="F11" s="4"/>
      <c r="G11" s="100">
        <f>G10/C10</f>
        <v>36.058884658108113</v>
      </c>
      <c r="H11" s="67">
        <f>H10/C10</f>
        <v>39.281247152817535</v>
      </c>
    </row>
    <row r="12" spans="1:9" ht="15.75" x14ac:dyDescent="0.25">
      <c r="A12" s="78" t="s">
        <v>65</v>
      </c>
      <c r="B12" s="5"/>
      <c r="C12" s="80">
        <f>F16</f>
        <v>1.8499999999999999</v>
      </c>
      <c r="D12" s="6"/>
      <c r="E12" s="7"/>
      <c r="F12" s="4"/>
    </row>
    <row r="13" spans="1:9" x14ac:dyDescent="0.25">
      <c r="A13" s="19"/>
    </row>
    <row r="14" spans="1:9" x14ac:dyDescent="0.25">
      <c r="A14" s="86" t="s">
        <v>67</v>
      </c>
      <c r="B14" s="87"/>
      <c r="C14" s="88"/>
      <c r="D14" s="88"/>
      <c r="E14" s="89"/>
      <c r="F14" s="90"/>
      <c r="G14" s="679" t="s">
        <v>68</v>
      </c>
      <c r="H14" s="673"/>
    </row>
    <row r="15" spans="1:9" x14ac:dyDescent="0.25">
      <c r="A15" s="56" t="s">
        <v>33</v>
      </c>
      <c r="B15" s="48">
        <f>$E$1</f>
        <v>3428</v>
      </c>
      <c r="C15" s="49">
        <v>1.67E-2</v>
      </c>
      <c r="D15" s="58">
        <f>IF('Simulateur CFDT '!I9='Simulateur CFDT '!Q19,D3,D4)</f>
        <v>57.25</v>
      </c>
      <c r="E15" s="50">
        <v>2.0399649941656946E-2</v>
      </c>
      <c r="F15" s="82">
        <f>IF('Simulateur CFDT '!I9='Simulateur CFDT '!Q19,F3,F4)</f>
        <v>69.930000000000007</v>
      </c>
      <c r="G15" s="63" t="s">
        <v>38</v>
      </c>
      <c r="H15" s="64" t="s">
        <v>27</v>
      </c>
    </row>
    <row r="16" spans="1:9" x14ac:dyDescent="0.25">
      <c r="A16" s="56" t="s">
        <v>69</v>
      </c>
      <c r="B16" s="48">
        <f>E1</f>
        <v>3428</v>
      </c>
      <c r="C16" s="49">
        <v>6.6E-4</v>
      </c>
      <c r="D16" s="58">
        <f>C16*B16</f>
        <v>2.26248</v>
      </c>
      <c r="E16" s="50">
        <v>5.3967327887981329E-4</v>
      </c>
      <c r="F16" s="82">
        <f>E16*B16</f>
        <v>1.8499999999999999</v>
      </c>
      <c r="G16" s="73">
        <f>D15+D16+D17+D18+D27+D28+D29</f>
        <v>59.537732499999997</v>
      </c>
      <c r="H16" s="65">
        <f>F15+F17+F18+F27+F28+F29</f>
        <v>69.9552525</v>
      </c>
    </row>
    <row r="17" spans="1:14" x14ac:dyDescent="0.25">
      <c r="A17" s="56" t="s">
        <v>70</v>
      </c>
      <c r="B17" s="48">
        <f>IF(C10&gt;$E$1,$E$1, C10)</f>
        <v>1.8499999999999999</v>
      </c>
      <c r="C17" s="49">
        <v>4.6499999999999996E-3</v>
      </c>
      <c r="D17" s="58">
        <f>C17*B17</f>
        <v>8.602499999999999E-3</v>
      </c>
      <c r="E17" s="50">
        <f>C17</f>
        <v>4.6499999999999996E-3</v>
      </c>
      <c r="F17" s="82">
        <f>E17*B17</f>
        <v>8.602499999999999E-3</v>
      </c>
      <c r="G17" s="116">
        <f>G16/C10</f>
        <v>32.182558108108111</v>
      </c>
      <c r="H17" s="117">
        <f>H16/C10</f>
        <v>37.813650000000003</v>
      </c>
    </row>
    <row r="18" spans="1:14" x14ac:dyDescent="0.25">
      <c r="A18" s="56" t="s">
        <v>71</v>
      </c>
      <c r="B18" s="48">
        <f>IF((B19-B17)&lt;0,0,IF((B19-B17)&lt;$G$1,B19-B17,$G$1))</f>
        <v>0</v>
      </c>
      <c r="C18" s="49">
        <v>6.0000000000000001E-3</v>
      </c>
      <c r="D18" s="58">
        <f>C18*B18</f>
        <v>0</v>
      </c>
      <c r="E18" s="50">
        <v>6.0000000000000001E-3</v>
      </c>
      <c r="F18" s="115">
        <f t="shared" ref="F18" si="0">E18*B18</f>
        <v>0</v>
      </c>
      <c r="G18" s="158">
        <f>D15+D16</f>
        <v>59.512479999999996</v>
      </c>
      <c r="H18" s="154">
        <f>F15+F16</f>
        <v>71.78</v>
      </c>
      <c r="I18" s="1" t="s">
        <v>33</v>
      </c>
    </row>
    <row r="19" spans="1:14" x14ac:dyDescent="0.25">
      <c r="A19" s="46" t="s">
        <v>72</v>
      </c>
      <c r="B19" s="77">
        <f>C10</f>
        <v>1.8499999999999999</v>
      </c>
      <c r="C19" s="76"/>
      <c r="D19" s="52"/>
      <c r="E19" s="54">
        <v>0.12999901640594699</v>
      </c>
      <c r="F19" s="68">
        <f>E19*B19</f>
        <v>0.24049818035100193</v>
      </c>
      <c r="G19" s="159">
        <f>D17+D18</f>
        <v>8.602499999999999E-3</v>
      </c>
      <c r="H19" s="160">
        <f>F17+F18</f>
        <v>8.602499999999999E-3</v>
      </c>
      <c r="I19" s="1" t="s">
        <v>34</v>
      </c>
    </row>
    <row r="20" spans="1:14" x14ac:dyDescent="0.25">
      <c r="A20" s="79" t="s">
        <v>73</v>
      </c>
      <c r="B20" s="42">
        <f>B19</f>
        <v>1.8499999999999999</v>
      </c>
      <c r="C20" s="43"/>
      <c r="D20" s="43"/>
      <c r="E20" s="44">
        <v>7.7000000000000002E-3</v>
      </c>
      <c r="F20" s="45">
        <f>E20*B20</f>
        <v>1.4244999999999999E-2</v>
      </c>
    </row>
    <row r="21" spans="1:14" x14ac:dyDescent="0.25">
      <c r="A21" s="86" t="s">
        <v>74</v>
      </c>
      <c r="B21" s="87"/>
      <c r="C21" s="88"/>
      <c r="D21" s="88"/>
      <c r="E21" s="89"/>
      <c r="F21" s="90"/>
      <c r="G21" s="679" t="s">
        <v>75</v>
      </c>
      <c r="H21" s="673"/>
    </row>
    <row r="22" spans="1:14" x14ac:dyDescent="0.25">
      <c r="A22" s="91" t="s">
        <v>76</v>
      </c>
      <c r="B22" s="205">
        <f>B17</f>
        <v>1.8499999999999999</v>
      </c>
      <c r="C22" s="93">
        <v>6.9000000000000006E-2</v>
      </c>
      <c r="D22" s="92">
        <f t="shared" ref="D22:D29" si="1">C22*B22</f>
        <v>0.12765000000000001</v>
      </c>
      <c r="E22" s="94">
        <v>8.5498833138856464E-2</v>
      </c>
      <c r="F22" s="95">
        <f t="shared" ref="F22:F23" si="2">E22*B22</f>
        <v>0.15817284130688444</v>
      </c>
      <c r="G22" s="63" t="s">
        <v>38</v>
      </c>
      <c r="H22" s="64" t="s">
        <v>27</v>
      </c>
    </row>
    <row r="23" spans="1:14" x14ac:dyDescent="0.25">
      <c r="A23" s="47" t="s">
        <v>77</v>
      </c>
      <c r="B23" s="84">
        <f>B19</f>
        <v>1.8499999999999999</v>
      </c>
      <c r="C23" s="85">
        <v>4.0000000000000001E-3</v>
      </c>
      <c r="D23" s="84">
        <f t="shared" si="1"/>
        <v>7.3999999999999995E-3</v>
      </c>
      <c r="E23" s="50">
        <v>1.899942389491201E-2</v>
      </c>
      <c r="F23" s="51">
        <f t="shared" si="2"/>
        <v>3.5148934205587214E-2</v>
      </c>
      <c r="G23" s="73">
        <f>D22+D23+D24+D25+D26+D32+D33</f>
        <v>0.209235</v>
      </c>
      <c r="H23" s="65"/>
    </row>
    <row r="24" spans="1:14" x14ac:dyDescent="0.25">
      <c r="A24" s="47" t="s">
        <v>78</v>
      </c>
      <c r="B24" s="48">
        <f>B22</f>
        <v>1.8499999999999999</v>
      </c>
      <c r="C24" s="49">
        <v>4.0099999999999997E-2</v>
      </c>
      <c r="D24" s="48">
        <f t="shared" si="1"/>
        <v>7.4184999999999987E-2</v>
      </c>
      <c r="E24" s="50">
        <v>6.0099183197199535E-2</v>
      </c>
      <c r="F24" s="51">
        <f>E24*B24</f>
        <v>0.11118348891481913</v>
      </c>
      <c r="G24" s="66">
        <f>G23/C10</f>
        <v>0.11310000000000001</v>
      </c>
      <c r="H24" s="67"/>
    </row>
    <row r="25" spans="1:14" x14ac:dyDescent="0.25">
      <c r="A25" s="47" t="s">
        <v>79</v>
      </c>
      <c r="B25" s="48">
        <f>B18</f>
        <v>0</v>
      </c>
      <c r="C25" s="49">
        <v>9.7199999999999995E-2</v>
      </c>
      <c r="D25" s="48">
        <f t="shared" si="1"/>
        <v>0</v>
      </c>
      <c r="E25" s="50">
        <v>0.145705</v>
      </c>
      <c r="F25" s="51">
        <f>E25*B25</f>
        <v>0</v>
      </c>
      <c r="J25" s="34"/>
    </row>
    <row r="26" spans="1:14" x14ac:dyDescent="0.25">
      <c r="A26" s="81" t="s">
        <v>80</v>
      </c>
      <c r="B26" s="48">
        <f>B23</f>
        <v>1.8499999999999999</v>
      </c>
      <c r="C26" s="49">
        <f>IF('Fusion CFDT '!F5='Fusion CFDT '!Q13,0.0014,0)</f>
        <v>0</v>
      </c>
      <c r="D26" s="48">
        <f t="shared" si="1"/>
        <v>0</v>
      </c>
      <c r="E26" s="50">
        <v>2.0996722022269378E-3</v>
      </c>
      <c r="F26" s="51">
        <f t="shared" ref="F26:F29" si="3">E26*B26</f>
        <v>3.8843935741198344E-3</v>
      </c>
      <c r="J26" s="34"/>
    </row>
    <row r="27" spans="1:14" x14ac:dyDescent="0.25">
      <c r="A27" s="56" t="s">
        <v>81</v>
      </c>
      <c r="B27" s="48">
        <f>B24</f>
        <v>1.8499999999999999</v>
      </c>
      <c r="C27" s="49">
        <v>8.9999999999999993E-3</v>
      </c>
      <c r="D27" s="59">
        <f t="shared" si="1"/>
        <v>1.6649999999999998E-2</v>
      </c>
      <c r="E27" s="50">
        <f>C27</f>
        <v>8.9999999999999993E-3</v>
      </c>
      <c r="F27" s="82">
        <f t="shared" si="3"/>
        <v>1.6649999999999998E-2</v>
      </c>
      <c r="G27" s="153">
        <f>D27+D28+D29</f>
        <v>1.6649999999999998E-2</v>
      </c>
      <c r="H27" s="154">
        <f>F27+F28+F29</f>
        <v>1.6649999999999998E-2</v>
      </c>
      <c r="I27" s="1" t="s">
        <v>97</v>
      </c>
      <c r="J27" s="34"/>
    </row>
    <row r="28" spans="1:14" x14ac:dyDescent="0.25">
      <c r="A28" s="56" t="s">
        <v>82</v>
      </c>
      <c r="B28" s="48">
        <f>B18</f>
        <v>0</v>
      </c>
      <c r="C28" s="49">
        <v>3.2000000000000001E-2</v>
      </c>
      <c r="D28" s="59">
        <f t="shared" si="1"/>
        <v>0</v>
      </c>
      <c r="E28" s="50">
        <f>C28</f>
        <v>3.2000000000000001E-2</v>
      </c>
      <c r="F28" s="82">
        <f t="shared" si="3"/>
        <v>0</v>
      </c>
      <c r="G28" s="125"/>
      <c r="H28" s="119">
        <f>G27+H27</f>
        <v>3.3299999999999996E-2</v>
      </c>
    </row>
    <row r="29" spans="1:14" x14ac:dyDescent="0.25">
      <c r="A29" s="57" t="s">
        <v>83</v>
      </c>
      <c r="B29" s="146">
        <f>IF($G$1=B28, B19-B18-B17, 0 )</f>
        <v>0</v>
      </c>
      <c r="C29" s="53">
        <v>3.5000000000000003E-2</v>
      </c>
      <c r="D29" s="60">
        <f t="shared" si="1"/>
        <v>0</v>
      </c>
      <c r="E29" s="54">
        <f>C29</f>
        <v>3.5000000000000003E-2</v>
      </c>
      <c r="F29" s="83">
        <f t="shared" si="3"/>
        <v>0</v>
      </c>
      <c r="H29" s="34">
        <f>B27+B28+B29</f>
        <v>1.8499999999999999</v>
      </c>
    </row>
    <row r="30" spans="1:14" x14ac:dyDescent="0.25">
      <c r="A30" s="79" t="s">
        <v>84</v>
      </c>
      <c r="B30" s="42">
        <f>B19</f>
        <v>1.8499999999999999</v>
      </c>
      <c r="C30" s="43"/>
      <c r="D30" s="43"/>
      <c r="E30" s="44">
        <v>5.2499999999999998E-2</v>
      </c>
      <c r="F30" s="45">
        <f>E30*B30</f>
        <v>9.7124999999999989E-2</v>
      </c>
      <c r="H30" s="34"/>
    </row>
    <row r="31" spans="1:14" x14ac:dyDescent="0.25">
      <c r="A31" s="86" t="s">
        <v>85</v>
      </c>
      <c r="B31" s="87"/>
      <c r="C31" s="88"/>
      <c r="D31" s="88"/>
      <c r="E31" s="89"/>
      <c r="F31" s="90"/>
      <c r="H31" s="34"/>
    </row>
    <row r="32" spans="1:14" x14ac:dyDescent="0.25">
      <c r="A32" s="91" t="s">
        <v>86</v>
      </c>
      <c r="B32" s="92">
        <f>B19</f>
        <v>1.8499999999999999</v>
      </c>
      <c r="C32" s="93">
        <f>IF('Fusion CFDT '!F5='Fusion CFDT '!Q13,0.00024,0)</f>
        <v>0</v>
      </c>
      <c r="D32" s="92">
        <f>C32*B32</f>
        <v>0</v>
      </c>
      <c r="E32" s="94">
        <v>3.5931292944418913E-4</v>
      </c>
      <c r="F32" s="95">
        <f>E32*B32</f>
        <v>6.6472891947174989E-4</v>
      </c>
      <c r="H32" s="34"/>
      <c r="M32" s="19"/>
      <c r="N32" s="380"/>
    </row>
    <row r="33" spans="1:20" x14ac:dyDescent="0.25">
      <c r="A33" s="47" t="s">
        <v>87</v>
      </c>
      <c r="B33" s="48">
        <f>B32</f>
        <v>1.8499999999999999</v>
      </c>
      <c r="C33" s="49">
        <f>IF('Simulateur CFDT '!I9='Simulateur CFDT '!Q19,E3,E4)</f>
        <v>0</v>
      </c>
      <c r="D33" s="48">
        <f t="shared" ref="D33" si="4">C33*B33</f>
        <v>0</v>
      </c>
      <c r="E33" s="50"/>
      <c r="F33" s="51"/>
      <c r="H33" s="34"/>
      <c r="K33" s="19"/>
      <c r="L33" s="381"/>
      <c r="M33" s="34">
        <f>IF('Fusion CFDT '!C30='Fusion CFDT '!Q29,  IF('Fusion CFDT '!F5='Fusion CFDT '!Q12,   IF('Fusion CFDT '!L5='Fusion CFDT '!R13,  O40, O41 ),  O42 ), IF('Fusion CFDT '!I5='Fusion CFDT '!S13, IF('Fusion CFDT '!F5='Fusion CFDT '!Q12,  IF('Fusion CFDT '!L5='Fusion CFDT '!R13,  N40, N42 ), N42), IF('Fusion CFDT '!F5='Fusion CFDT '!Q12,  IF('Fusion CFDT '!L5='Fusion CFDT '!R13,  M40, M41 ), M41)))</f>
        <v>0</v>
      </c>
      <c r="N33" s="34"/>
    </row>
    <row r="34" spans="1:20" x14ac:dyDescent="0.25">
      <c r="A34" s="46" t="s">
        <v>88</v>
      </c>
      <c r="B34" s="52">
        <f>B19</f>
        <v>1.8499999999999999</v>
      </c>
      <c r="C34" s="53"/>
      <c r="D34" s="52">
        <f>C34*B34</f>
        <v>0</v>
      </c>
      <c r="E34" s="54">
        <v>4.1999466048942842E-2</v>
      </c>
      <c r="F34" s="55">
        <f t="shared" ref="F34" si="5">E34*B34</f>
        <v>7.7699012190544259E-2</v>
      </c>
      <c r="K34" s="19"/>
      <c r="L34" s="381"/>
      <c r="M34" s="34"/>
      <c r="N34" s="34"/>
    </row>
    <row r="35" spans="1:20" x14ac:dyDescent="0.25">
      <c r="A35" s="86" t="s">
        <v>89</v>
      </c>
      <c r="B35" s="87">
        <f>C10*$I$1+H16</f>
        <v>71.772877500000007</v>
      </c>
      <c r="C35" s="88"/>
      <c r="D35" s="88"/>
      <c r="E35" s="89">
        <v>6.6242245000000005E-2</v>
      </c>
      <c r="F35" s="90">
        <f>E35*B36</f>
        <v>0.12254815325</v>
      </c>
      <c r="G35" s="679" t="s">
        <v>90</v>
      </c>
      <c r="H35" s="673"/>
      <c r="K35" s="19"/>
      <c r="L35" s="381"/>
      <c r="M35" s="34"/>
      <c r="N35" s="34"/>
    </row>
    <row r="36" spans="1:20" x14ac:dyDescent="0.25">
      <c r="A36" s="91" t="s">
        <v>91</v>
      </c>
      <c r="B36" s="84">
        <f>B19</f>
        <v>1.8499999999999999</v>
      </c>
      <c r="C36" s="85"/>
      <c r="D36" s="84"/>
      <c r="E36" s="50">
        <v>2.0999999999999999E-3</v>
      </c>
      <c r="F36" s="51">
        <f>E36*B36</f>
        <v>3.8849999999999996E-3</v>
      </c>
      <c r="G36" s="71" t="s">
        <v>38</v>
      </c>
      <c r="H36" s="72" t="s">
        <v>27</v>
      </c>
    </row>
    <row r="37" spans="1:20" x14ac:dyDescent="0.25">
      <c r="A37" s="47" t="s">
        <v>92</v>
      </c>
      <c r="B37" s="48">
        <f>B35</f>
        <v>71.772877500000007</v>
      </c>
      <c r="C37" s="49">
        <v>6.8000000000000005E-2</v>
      </c>
      <c r="D37" s="48">
        <f>B37*C37</f>
        <v>4.8805556700000006</v>
      </c>
      <c r="E37" s="97"/>
      <c r="F37" s="96"/>
      <c r="G37" s="98">
        <f>D37+D38</f>
        <v>6.9619691175000007</v>
      </c>
      <c r="H37" s="65"/>
      <c r="L37" s="1" t="str">
        <f>'Fusion CFDT '!F5</f>
        <v>ETAM</v>
      </c>
      <c r="M37" s="1" t="str">
        <f>'Fusion CFDT '!I5</f>
        <v>ARTT 1</v>
      </c>
      <c r="N37" s="1" t="str" cm="1">
        <f t="array" ref="N37:O37">'Fusion CFDT '!L5:M5</f>
        <v>Strasbourg</v>
      </c>
      <c r="O37" s="1">
        <v>0</v>
      </c>
    </row>
    <row r="38" spans="1:20" x14ac:dyDescent="0.25">
      <c r="A38" s="47" t="s">
        <v>93</v>
      </c>
      <c r="B38" s="48">
        <f>B37</f>
        <v>71.772877500000007</v>
      </c>
      <c r="C38" s="49">
        <v>2.9000000000000001E-2</v>
      </c>
      <c r="D38" s="48">
        <f>B38*C38</f>
        <v>2.0814134475000001</v>
      </c>
      <c r="E38" s="97"/>
      <c r="F38" s="96"/>
      <c r="G38" s="66">
        <f>G37/C10</f>
        <v>3.7632265500000006</v>
      </c>
      <c r="H38" s="70"/>
      <c r="K38" s="1" t="s">
        <v>303</v>
      </c>
      <c r="P38" s="1" t="s">
        <v>304</v>
      </c>
    </row>
    <row r="39" spans="1:20" x14ac:dyDescent="0.25">
      <c r="A39" s="109" t="s">
        <v>94</v>
      </c>
      <c r="B39" s="110">
        <v>0</v>
      </c>
      <c r="C39" s="111">
        <v>9.7000000000000003E-2</v>
      </c>
      <c r="D39" s="110">
        <f>C39*B39</f>
        <v>0</v>
      </c>
      <c r="E39" s="112"/>
      <c r="F39" s="101"/>
      <c r="K39" s="402" t="str">
        <f>'Simulateur CFDT '!D12</f>
        <v>CADRE</v>
      </c>
      <c r="M39" s="380" t="str">
        <f>G41</f>
        <v>ARTT 1 &amp; 3</v>
      </c>
      <c r="N39" s="380" t="s">
        <v>8</v>
      </c>
      <c r="O39" s="380" t="s">
        <v>30</v>
      </c>
      <c r="P39" s="401" t="str">
        <f>'Simulateur CFDT '!I9</f>
        <v>Issy-les Moulineaux</v>
      </c>
    </row>
    <row r="40" spans="1:20" x14ac:dyDescent="0.25">
      <c r="G40" s="403" t="str">
        <f>'Fusion CFDT '!I5</f>
        <v>ARTT 1</v>
      </c>
      <c r="K40" s="19" t="s">
        <v>102</v>
      </c>
      <c r="L40" s="381">
        <v>3.2000000000000001E-2</v>
      </c>
      <c r="M40" s="34">
        <f>L40*I41+I41</f>
        <v>0</v>
      </c>
      <c r="N40" s="34">
        <f>I42*L40+I42</f>
        <v>0</v>
      </c>
      <c r="O40" s="34">
        <f>L40*I43+I43</f>
        <v>0</v>
      </c>
      <c r="P40" s="1" t="s">
        <v>10</v>
      </c>
    </row>
    <row r="41" spans="1:20" ht="15.75" x14ac:dyDescent="0.25">
      <c r="A41" s="19" t="s">
        <v>95</v>
      </c>
      <c r="B41" s="5"/>
      <c r="C41" s="48">
        <v>0</v>
      </c>
      <c r="D41" s="6"/>
      <c r="E41" s="7"/>
      <c r="F41" s="4"/>
      <c r="G41" s="19" t="s">
        <v>103</v>
      </c>
      <c r="H41" s="381">
        <v>0.02</v>
      </c>
      <c r="I41" s="34">
        <f>'Amadeus France'!I83</f>
        <v>0</v>
      </c>
      <c r="K41" s="19" t="s">
        <v>102</v>
      </c>
      <c r="L41" s="381">
        <v>2.5000000000000001E-2</v>
      </c>
      <c r="M41" s="34">
        <f>I41*L41+I41</f>
        <v>0</v>
      </c>
      <c r="N41" s="34">
        <f>I42*L41+I42</f>
        <v>0</v>
      </c>
      <c r="O41" s="34">
        <f>L41*I43+I43</f>
        <v>0</v>
      </c>
      <c r="P41" s="1" t="s">
        <v>16</v>
      </c>
    </row>
    <row r="42" spans="1:20" x14ac:dyDescent="0.25">
      <c r="G42" s="19" t="s">
        <v>8</v>
      </c>
      <c r="H42" s="381">
        <v>0.05</v>
      </c>
      <c r="I42" s="34">
        <f>'Amadeus France'!I84</f>
        <v>0</v>
      </c>
      <c r="K42" s="19" t="s">
        <v>104</v>
      </c>
      <c r="L42" s="381">
        <v>0.02</v>
      </c>
      <c r="M42" s="34">
        <f>L42*I41+I41</f>
        <v>0</v>
      </c>
      <c r="N42" s="34">
        <f>L42*I42+I42</f>
        <v>0</v>
      </c>
      <c r="O42" s="34">
        <f>L42*I43+I43</f>
        <v>0</v>
      </c>
      <c r="P42" s="1" t="s">
        <v>105</v>
      </c>
    </row>
    <row r="43" spans="1:20" x14ac:dyDescent="0.25">
      <c r="G43" s="19" t="s">
        <v>30</v>
      </c>
      <c r="H43" s="381">
        <v>0</v>
      </c>
      <c r="I43" s="34" cm="1">
        <f t="array" ref="I43:J43">'Simulateur CFDT '!G12:H12</f>
        <v>0</v>
      </c>
      <c r="J43" s="1">
        <v>0</v>
      </c>
      <c r="K43" s="19"/>
      <c r="L43" s="447"/>
      <c r="M43" s="34"/>
      <c r="N43" s="34"/>
    </row>
    <row r="44" spans="1:20" ht="18" x14ac:dyDescent="0.25">
      <c r="A44" s="74" t="s">
        <v>106</v>
      </c>
      <c r="B44" s="75"/>
      <c r="C44" s="666" t="s">
        <v>101</v>
      </c>
      <c r="D44" s="666"/>
      <c r="E44" s="666"/>
      <c r="F44" s="667"/>
      <c r="K44" s="535" t="s">
        <v>107</v>
      </c>
      <c r="L44" s="75"/>
      <c r="M44" s="666" t="s">
        <v>101</v>
      </c>
      <c r="N44" s="666"/>
      <c r="O44" s="666"/>
      <c r="P44" s="667"/>
    </row>
    <row r="45" spans="1:20" x14ac:dyDescent="0.25">
      <c r="B45" s="677" t="s">
        <v>57</v>
      </c>
      <c r="C45" s="677"/>
      <c r="D45" s="677"/>
      <c r="E45" s="3">
        <v>1</v>
      </c>
      <c r="F45" s="2" t="s">
        <v>58</v>
      </c>
      <c r="G45" s="679" t="s">
        <v>59</v>
      </c>
      <c r="H45" s="673"/>
      <c r="L45" s="677" t="s">
        <v>57</v>
      </c>
      <c r="M45" s="677"/>
      <c r="N45" s="677"/>
      <c r="O45" s="3">
        <v>1</v>
      </c>
      <c r="P45" s="2" t="s">
        <v>58</v>
      </c>
      <c r="Q45" s="679" t="s">
        <v>59</v>
      </c>
      <c r="R45" s="673"/>
    </row>
    <row r="46" spans="1:20" x14ac:dyDescent="0.25">
      <c r="B46" s="41" t="s">
        <v>60</v>
      </c>
      <c r="C46" s="41" t="s">
        <v>61</v>
      </c>
      <c r="D46" s="41" t="s">
        <v>62</v>
      </c>
      <c r="E46" s="678" t="s">
        <v>63</v>
      </c>
      <c r="F46" s="678"/>
      <c r="G46" s="63" t="s">
        <v>38</v>
      </c>
      <c r="H46" s="64" t="s">
        <v>27</v>
      </c>
      <c r="L46" s="41" t="s">
        <v>60</v>
      </c>
      <c r="M46" s="41" t="s">
        <v>61</v>
      </c>
      <c r="N46" s="41" t="s">
        <v>62</v>
      </c>
      <c r="O46" s="678" t="s">
        <v>63</v>
      </c>
      <c r="P46" s="678"/>
      <c r="Q46" s="63" t="s">
        <v>38</v>
      </c>
      <c r="R46" s="64" t="s">
        <v>27</v>
      </c>
    </row>
    <row r="47" spans="1:20" ht="18.75" x14ac:dyDescent="0.3">
      <c r="B47" s="5"/>
      <c r="C47" s="102">
        <f>C48+C49</f>
        <v>4001.85</v>
      </c>
      <c r="D47" s="99">
        <f>C47-G47</f>
        <v>3026.5719918750001</v>
      </c>
      <c r="E47" s="7"/>
      <c r="F47" s="4">
        <f>SUM(F51:F76)</f>
        <v>2011.6935585783826</v>
      </c>
      <c r="G47" s="73">
        <f>G53+G60+G74</f>
        <v>975.27800812500004</v>
      </c>
      <c r="H47" s="65">
        <f>F47</f>
        <v>2011.6935585783826</v>
      </c>
      <c r="K47" s="1">
        <f>IF('Simulateur CFDT '!D12='Simulateur CFDT '!P20,IF('Simulateur CFDT '!D14='Simulateur CFDT '!R20,N42,M42),IF('Simulateur CFDT '!I9='Simulateur CFDT '!Q19,IF('Simulateur CFDT '!D14='Simulateur CFDT '!R20,N41,M41),IF('Simulateur CFDT '!D14='Simulateur CFDT '!R20,N40,M40)))</f>
        <v>0</v>
      </c>
      <c r="L47" s="5"/>
      <c r="M47" s="102">
        <f>IF('Simulateur CFDT '!D13='Simulateur CFDT '!P27,M48+M50+M49,M48+M49)</f>
        <v>0</v>
      </c>
      <c r="N47" s="99">
        <f>IF('Simulateur CFDT '!D13='Simulateur CFDT '!P27,M47-Q47-M49,M47-Q47+M50-M49)</f>
        <v>-66.295689999999993</v>
      </c>
      <c r="O47" s="7"/>
      <c r="P47" s="4">
        <f>SUM(P51:P76)</f>
        <v>71.78</v>
      </c>
      <c r="Q47" s="73">
        <f>Q53+Q60+Q74</f>
        <v>66.295689999999993</v>
      </c>
      <c r="R47" s="65">
        <f>P47</f>
        <v>71.78</v>
      </c>
      <c r="T47" s="34"/>
    </row>
    <row r="48" spans="1:20" ht="15.75" x14ac:dyDescent="0.25">
      <c r="A48" s="19" t="s">
        <v>64</v>
      </c>
      <c r="B48" s="5"/>
      <c r="C48" s="103">
        <v>4000</v>
      </c>
      <c r="D48" s="6"/>
      <c r="E48" s="7"/>
      <c r="F48" s="4"/>
      <c r="G48" s="100">
        <f>G47/C47</f>
        <v>0.2437067876419656</v>
      </c>
      <c r="H48" s="67">
        <f>H47/C47</f>
        <v>0.50269089510560938</v>
      </c>
      <c r="K48" s="19" t="s">
        <v>64</v>
      </c>
      <c r="L48" s="5"/>
      <c r="M48" s="103">
        <f>IF('Simulateur CFDT '!D12='Simulateur CFDT '!P20,IF('Simulateur CFDT '!D14='Simulateur CFDT '!R20,N42,M42),IF('Simulateur CFDT '!I9='Simulateur CFDT '!Q19,IF('Simulateur CFDT '!D14='Simulateur CFDT '!R20,N41,M41),IF('Simulateur CFDT '!D14='Simulateur CFDT '!R20,N40,M40)))</f>
        <v>0</v>
      </c>
      <c r="N48" s="6"/>
      <c r="O48" s="7"/>
      <c r="P48" s="4"/>
      <c r="Q48" s="100" t="e">
        <f>Q47/M47</f>
        <v>#DIV/0!</v>
      </c>
      <c r="R48" s="67" t="e">
        <f>R47/M47</f>
        <v>#DIV/0!</v>
      </c>
      <c r="T48" s="34"/>
    </row>
    <row r="49" spans="1:20" ht="15.75" x14ac:dyDescent="0.25">
      <c r="A49" s="78" t="s">
        <v>65</v>
      </c>
      <c r="B49" s="5"/>
      <c r="C49" s="80">
        <f>F53</f>
        <v>1.8499999999999999</v>
      </c>
      <c r="D49" s="6"/>
      <c r="E49" s="7"/>
      <c r="F49" s="4"/>
      <c r="K49" s="151" t="s">
        <v>65</v>
      </c>
      <c r="L49" s="5"/>
      <c r="M49" s="80">
        <f>IF(M48=0,0,P53)</f>
        <v>0</v>
      </c>
      <c r="N49" s="6"/>
      <c r="O49" s="7"/>
      <c r="P49" s="4"/>
      <c r="T49" s="34"/>
    </row>
    <row r="50" spans="1:20" x14ac:dyDescent="0.25">
      <c r="A50" s="19"/>
      <c r="K50" s="78" t="s">
        <v>274</v>
      </c>
      <c r="L50" s="5"/>
      <c r="M50" s="80">
        <f>'Amadeus France'!C12</f>
        <v>0</v>
      </c>
    </row>
    <row r="51" spans="1:20" x14ac:dyDescent="0.25">
      <c r="A51" s="86" t="s">
        <v>67</v>
      </c>
      <c r="B51" s="87"/>
      <c r="C51" s="88"/>
      <c r="D51" s="88"/>
      <c r="E51" s="89"/>
      <c r="F51" s="90"/>
      <c r="G51" s="679" t="s">
        <v>68</v>
      </c>
      <c r="H51" s="673"/>
      <c r="K51" s="86" t="s">
        <v>67</v>
      </c>
      <c r="L51" s="87"/>
      <c r="M51" s="88"/>
      <c r="N51" s="88"/>
      <c r="O51" s="89"/>
      <c r="P51" s="90"/>
      <c r="Q51" s="679" t="s">
        <v>68</v>
      </c>
      <c r="R51" s="673"/>
    </row>
    <row r="52" spans="1:20" x14ac:dyDescent="0.25">
      <c r="A52" s="56" t="s">
        <v>33</v>
      </c>
      <c r="B52" s="48">
        <f>$E$1</f>
        <v>3428</v>
      </c>
      <c r="C52" s="49">
        <v>1.67E-2</v>
      </c>
      <c r="D52" s="58">
        <f>D15</f>
        <v>57.25</v>
      </c>
      <c r="E52" s="50">
        <v>2.0399649941656946E-2</v>
      </c>
      <c r="F52" s="537">
        <f>F15</f>
        <v>69.930000000000007</v>
      </c>
      <c r="G52" s="63" t="s">
        <v>38</v>
      </c>
      <c r="H52" s="64" t="s">
        <v>27</v>
      </c>
      <c r="K52" s="56" t="s">
        <v>33</v>
      </c>
      <c r="L52" s="48">
        <f>$E$1</f>
        <v>3428</v>
      </c>
      <c r="M52" s="49">
        <v>1.67E-2</v>
      </c>
      <c r="N52" s="58">
        <f>D52</f>
        <v>57.25</v>
      </c>
      <c r="O52" s="50">
        <v>2.0399649941656946E-2</v>
      </c>
      <c r="P52" s="82">
        <f>F52</f>
        <v>69.930000000000007</v>
      </c>
      <c r="Q52" s="63" t="s">
        <v>38</v>
      </c>
      <c r="R52" s="64" t="s">
        <v>27</v>
      </c>
    </row>
    <row r="53" spans="1:20" x14ac:dyDescent="0.25">
      <c r="A53" s="56" t="s">
        <v>69</v>
      </c>
      <c r="B53" s="48">
        <f>$E$1</f>
        <v>3428</v>
      </c>
      <c r="C53" s="49">
        <v>6.6E-4</v>
      </c>
      <c r="D53" s="58">
        <f>C53*B53</f>
        <v>2.26248</v>
      </c>
      <c r="E53" s="50">
        <v>5.3967327887981329E-4</v>
      </c>
      <c r="F53" s="82">
        <f>E53*B53</f>
        <v>1.8499999999999999</v>
      </c>
      <c r="G53" s="73">
        <f>D52+D53+D54+D55+D64+D65+D66</f>
        <v>128.11098000000001</v>
      </c>
      <c r="H53" s="65">
        <f>F52+F54+F55+F64+F65+F66</f>
        <v>138.52850000000001</v>
      </c>
      <c r="K53" s="56" t="s">
        <v>69</v>
      </c>
      <c r="L53" s="48">
        <f>$E$1</f>
        <v>3428</v>
      </c>
      <c r="M53" s="49">
        <v>6.6E-4</v>
      </c>
      <c r="N53" s="58">
        <f>M53*L53</f>
        <v>2.26248</v>
      </c>
      <c r="O53" s="50">
        <v>5.3967327887981329E-4</v>
      </c>
      <c r="P53" s="82">
        <f>O53*L53</f>
        <v>1.8499999999999999</v>
      </c>
      <c r="Q53" s="73">
        <f>N52+N53+N54+N55+N64+N65+N66</f>
        <v>59.512479999999996</v>
      </c>
      <c r="R53" s="65">
        <f>P52+P54+P55+P64+P65+P66</f>
        <v>69.930000000000007</v>
      </c>
    </row>
    <row r="54" spans="1:20" x14ac:dyDescent="0.25">
      <c r="A54" s="56" t="s">
        <v>70</v>
      </c>
      <c r="B54" s="48">
        <f>IF(C47&gt;$E$1,$E$1, C47)</f>
        <v>3428</v>
      </c>
      <c r="C54" s="49">
        <v>4.6499999999999996E-3</v>
      </c>
      <c r="D54" s="58">
        <f>C54*B54</f>
        <v>15.940199999999999</v>
      </c>
      <c r="E54" s="50">
        <f>C54</f>
        <v>4.6499999999999996E-3</v>
      </c>
      <c r="F54" s="82">
        <f>E54*B54</f>
        <v>15.940199999999999</v>
      </c>
      <c r="G54" s="116">
        <f>G53/C47</f>
        <v>3.201293901570524E-2</v>
      </c>
      <c r="H54" s="117">
        <f>H53/C47</f>
        <v>3.4616115046790859E-2</v>
      </c>
      <c r="K54" s="56" t="s">
        <v>70</v>
      </c>
      <c r="L54" s="48">
        <f>IF(M47&gt;$E$1,$E$1, M47)</f>
        <v>0</v>
      </c>
      <c r="M54" s="49">
        <v>4.6499999999999996E-3</v>
      </c>
      <c r="N54" s="58">
        <f>M54*L54</f>
        <v>0</v>
      </c>
      <c r="O54" s="50">
        <f>M54</f>
        <v>4.6499999999999996E-3</v>
      </c>
      <c r="P54" s="82">
        <f>O54*L54</f>
        <v>0</v>
      </c>
      <c r="Q54" s="116" t="e">
        <f>Q53/M47</f>
        <v>#DIV/0!</v>
      </c>
      <c r="R54" s="117" t="e">
        <f>R53/M47</f>
        <v>#DIV/0!</v>
      </c>
    </row>
    <row r="55" spans="1:20" x14ac:dyDescent="0.25">
      <c r="A55" s="56" t="s">
        <v>71</v>
      </c>
      <c r="B55" s="48">
        <f>IF((B56-B54)&lt;0,0,IF((B56-B54)&lt;$G$1,B56-B54,$G$1))</f>
        <v>573.84999999999991</v>
      </c>
      <c r="C55" s="49">
        <v>6.0000000000000001E-3</v>
      </c>
      <c r="D55" s="58">
        <f>C55*B55</f>
        <v>3.4430999999999994</v>
      </c>
      <c r="E55" s="50">
        <v>6.0000000000000001E-3</v>
      </c>
      <c r="F55" s="115">
        <f t="shared" ref="F55" si="6">E55*B55</f>
        <v>3.4430999999999994</v>
      </c>
      <c r="G55" s="158">
        <f>D52+D53</f>
        <v>59.512479999999996</v>
      </c>
      <c r="H55" s="154">
        <f>F52+F53</f>
        <v>71.78</v>
      </c>
      <c r="I55" s="1" t="s">
        <v>33</v>
      </c>
      <c r="K55" s="56" t="s">
        <v>71</v>
      </c>
      <c r="L55" s="48">
        <f>IF((L56-L54)&lt;0,0,IF((L56-L54)&lt;$G$1,L56-L54,$G$1))</f>
        <v>0</v>
      </c>
      <c r="M55" s="49">
        <v>6.0000000000000001E-3</v>
      </c>
      <c r="N55" s="58">
        <f>M55*L55</f>
        <v>0</v>
      </c>
      <c r="O55" s="50">
        <v>6.0000000000000001E-3</v>
      </c>
      <c r="P55" s="115">
        <f t="shared" ref="P55" si="7">O55*L55</f>
        <v>0</v>
      </c>
      <c r="Q55" s="158">
        <f>N52+N53</f>
        <v>59.512479999999996</v>
      </c>
      <c r="R55" s="154">
        <f>P52+P53</f>
        <v>71.78</v>
      </c>
      <c r="S55" s="1" t="s">
        <v>33</v>
      </c>
    </row>
    <row r="56" spans="1:20" x14ac:dyDescent="0.25">
      <c r="A56" s="46" t="s">
        <v>72</v>
      </c>
      <c r="B56" s="77">
        <f>C47</f>
        <v>4001.85</v>
      </c>
      <c r="C56" s="76"/>
      <c r="D56" s="52"/>
      <c r="E56" s="54">
        <v>0.12999901640594699</v>
      </c>
      <c r="F56" s="68">
        <f>E56*B56</f>
        <v>520.236563804139</v>
      </c>
      <c r="G56" s="159">
        <f>D54+D55</f>
        <v>19.383299999999998</v>
      </c>
      <c r="H56" s="160">
        <f>F54+F55</f>
        <v>19.383299999999998</v>
      </c>
      <c r="I56" s="1" t="s">
        <v>34</v>
      </c>
      <c r="K56" s="46" t="s">
        <v>72</v>
      </c>
      <c r="L56" s="77">
        <f>M47</f>
        <v>0</v>
      </c>
      <c r="M56" s="76"/>
      <c r="N56" s="52"/>
      <c r="O56" s="54">
        <v>0.12999901640594699</v>
      </c>
      <c r="P56" s="68">
        <f>O56*L56</f>
        <v>0</v>
      </c>
      <c r="Q56" s="159">
        <f>N54+N55</f>
        <v>0</v>
      </c>
      <c r="R56" s="160">
        <f>P54+P55</f>
        <v>0</v>
      </c>
      <c r="S56" s="1" t="s">
        <v>34</v>
      </c>
    </row>
    <row r="57" spans="1:20" x14ac:dyDescent="0.25">
      <c r="A57" s="79" t="s">
        <v>73</v>
      </c>
      <c r="B57" s="42">
        <f>B56</f>
        <v>4001.85</v>
      </c>
      <c r="C57" s="43"/>
      <c r="D57" s="43"/>
      <c r="E57" s="44">
        <v>7.7000000000000002E-3</v>
      </c>
      <c r="F57" s="45">
        <f>E57*B57</f>
        <v>30.814245</v>
      </c>
      <c r="K57" s="79" t="s">
        <v>73</v>
      </c>
      <c r="L57" s="42">
        <f>L56</f>
        <v>0</v>
      </c>
      <c r="M57" s="43"/>
      <c r="N57" s="43"/>
      <c r="O57" s="44">
        <v>7.7000000000000002E-3</v>
      </c>
      <c r="P57" s="45">
        <f>O57*L57</f>
        <v>0</v>
      </c>
    </row>
    <row r="58" spans="1:20" x14ac:dyDescent="0.25">
      <c r="A58" s="86" t="s">
        <v>74</v>
      </c>
      <c r="B58" s="87"/>
      <c r="C58" s="88"/>
      <c r="D58" s="88"/>
      <c r="E58" s="89"/>
      <c r="F58" s="90"/>
      <c r="G58" s="679" t="s">
        <v>75</v>
      </c>
      <c r="H58" s="673"/>
      <c r="K58" s="86" t="s">
        <v>74</v>
      </c>
      <c r="L58" s="87"/>
      <c r="M58" s="88"/>
      <c r="N58" s="88"/>
      <c r="O58" s="89"/>
      <c r="P58" s="90"/>
      <c r="Q58" s="679" t="s">
        <v>75</v>
      </c>
      <c r="R58" s="673"/>
    </row>
    <row r="59" spans="1:20" x14ac:dyDescent="0.25">
      <c r="A59" s="91" t="s">
        <v>76</v>
      </c>
      <c r="B59" s="92">
        <f>B54</f>
        <v>3428</v>
      </c>
      <c r="C59" s="93">
        <v>6.9000000000000006E-2</v>
      </c>
      <c r="D59" s="92">
        <f t="shared" ref="D59:D66" si="8">C59*B59</f>
        <v>236.53200000000001</v>
      </c>
      <c r="E59" s="94">
        <v>8.5498833138856464E-2</v>
      </c>
      <c r="F59" s="95">
        <f t="shared" ref="F59:F60" si="9">E59*B59</f>
        <v>293.08999999999997</v>
      </c>
      <c r="G59" s="63" t="s">
        <v>38</v>
      </c>
      <c r="H59" s="64" t="s">
        <v>27</v>
      </c>
      <c r="K59" s="91" t="s">
        <v>76</v>
      </c>
      <c r="L59" s="92">
        <f>L54</f>
        <v>0</v>
      </c>
      <c r="M59" s="93">
        <v>6.9000000000000006E-2</v>
      </c>
      <c r="N59" s="92">
        <f t="shared" ref="N59:N66" si="10">M59*L59</f>
        <v>0</v>
      </c>
      <c r="O59" s="94">
        <v>8.5498833138856464E-2</v>
      </c>
      <c r="P59" s="95">
        <f t="shared" ref="P59:P60" si="11">O59*L59</f>
        <v>0</v>
      </c>
      <c r="Q59" s="63" t="s">
        <v>38</v>
      </c>
      <c r="R59" s="64" t="s">
        <v>27</v>
      </c>
    </row>
    <row r="60" spans="1:20" x14ac:dyDescent="0.25">
      <c r="A60" s="47" t="s">
        <v>77</v>
      </c>
      <c r="B60" s="84">
        <f>B56</f>
        <v>4001.85</v>
      </c>
      <c r="C60" s="85">
        <v>4.0000000000000001E-3</v>
      </c>
      <c r="D60" s="84">
        <f t="shared" si="8"/>
        <v>16.007400000000001</v>
      </c>
      <c r="E60" s="50">
        <v>1.899942389491201E-2</v>
      </c>
      <c r="F60" s="51">
        <f t="shared" si="9"/>
        <v>76.032844513853632</v>
      </c>
      <c r="G60" s="73">
        <f>D59+D60+D61+D62+D63+D69+D70</f>
        <v>452.34345400000001</v>
      </c>
      <c r="H60" s="65"/>
      <c r="K60" s="47" t="s">
        <v>77</v>
      </c>
      <c r="L60" s="84">
        <f>L56</f>
        <v>0</v>
      </c>
      <c r="M60" s="85">
        <v>4.0000000000000001E-3</v>
      </c>
      <c r="N60" s="84">
        <f t="shared" si="10"/>
        <v>0</v>
      </c>
      <c r="O60" s="50">
        <v>1.899942389491201E-2</v>
      </c>
      <c r="P60" s="51">
        <f t="shared" si="11"/>
        <v>0</v>
      </c>
      <c r="Q60" s="73">
        <f>N59+N60+N61+N62+N63+N69+N70</f>
        <v>0</v>
      </c>
      <c r="R60" s="65"/>
    </row>
    <row r="61" spans="1:20" x14ac:dyDescent="0.25">
      <c r="A61" s="47" t="s">
        <v>78</v>
      </c>
      <c r="B61" s="48">
        <f>B59</f>
        <v>3428</v>
      </c>
      <c r="C61" s="49">
        <v>4.0099999999999997E-2</v>
      </c>
      <c r="D61" s="48">
        <f t="shared" si="8"/>
        <v>137.46279999999999</v>
      </c>
      <c r="E61" s="50">
        <v>6.0099183197199535E-2</v>
      </c>
      <c r="F61" s="51">
        <f>E61*B61</f>
        <v>206.02</v>
      </c>
      <c r="G61" s="66">
        <f>G60/C47</f>
        <v>0.11303358546672164</v>
      </c>
      <c r="H61" s="67"/>
      <c r="K61" s="47" t="s">
        <v>78</v>
      </c>
      <c r="L61" s="48">
        <f>L59</f>
        <v>0</v>
      </c>
      <c r="M61" s="49">
        <v>4.0099999999999997E-2</v>
      </c>
      <c r="N61" s="48">
        <f t="shared" si="10"/>
        <v>0</v>
      </c>
      <c r="O61" s="50">
        <v>6.0099183197199535E-2</v>
      </c>
      <c r="P61" s="51">
        <f>O61*L61</f>
        <v>0</v>
      </c>
      <c r="Q61" s="66" t="e">
        <f>Q60/M47</f>
        <v>#DIV/0!</v>
      </c>
      <c r="R61" s="67"/>
    </row>
    <row r="62" spans="1:20" x14ac:dyDescent="0.25">
      <c r="A62" s="47" t="s">
        <v>79</v>
      </c>
      <c r="B62" s="48">
        <f>B55</f>
        <v>573.84999999999991</v>
      </c>
      <c r="C62" s="49">
        <v>9.7199999999999995E-2</v>
      </c>
      <c r="D62" s="48">
        <f t="shared" si="8"/>
        <v>55.77821999999999</v>
      </c>
      <c r="E62" s="50">
        <v>0.145705</v>
      </c>
      <c r="F62" s="51">
        <f>E62*B62</f>
        <v>83.612814249999985</v>
      </c>
      <c r="K62" s="47" t="s">
        <v>79</v>
      </c>
      <c r="L62" s="48">
        <f>L55</f>
        <v>0</v>
      </c>
      <c r="M62" s="49">
        <v>9.7199999999999995E-2</v>
      </c>
      <c r="N62" s="48">
        <f t="shared" si="10"/>
        <v>0</v>
      </c>
      <c r="O62" s="50">
        <v>0.145705</v>
      </c>
      <c r="P62" s="51">
        <f>O62*L62</f>
        <v>0</v>
      </c>
    </row>
    <row r="63" spans="1:20" x14ac:dyDescent="0.25">
      <c r="A63" s="81" t="s">
        <v>80</v>
      </c>
      <c r="B63" s="48">
        <f>B60</f>
        <v>4001.85</v>
      </c>
      <c r="C63" s="49">
        <v>1.4E-3</v>
      </c>
      <c r="D63" s="48">
        <f t="shared" si="8"/>
        <v>5.6025900000000002</v>
      </c>
      <c r="E63" s="50">
        <v>2.0996722022269378E-3</v>
      </c>
      <c r="F63" s="51">
        <f t="shared" ref="F63:F66" si="12">E63*B63</f>
        <v>8.4025732024818716</v>
      </c>
      <c r="K63" s="81" t="s">
        <v>80</v>
      </c>
      <c r="L63" s="48">
        <f>IF(L62=0,0,L60)</f>
        <v>0</v>
      </c>
      <c r="M63" s="49">
        <v>1.4E-3</v>
      </c>
      <c r="N63" s="48">
        <f t="shared" si="10"/>
        <v>0</v>
      </c>
      <c r="O63" s="50">
        <v>2.0996722022269378E-3</v>
      </c>
      <c r="P63" s="51">
        <f t="shared" ref="P63:P66" si="13">O63*L63</f>
        <v>0</v>
      </c>
    </row>
    <row r="64" spans="1:20" x14ac:dyDescent="0.25">
      <c r="A64" s="56" t="s">
        <v>81</v>
      </c>
      <c r="B64" s="48">
        <f>B61</f>
        <v>3428</v>
      </c>
      <c r="C64" s="49">
        <v>8.9999999999999993E-3</v>
      </c>
      <c r="D64" s="59">
        <f t="shared" si="8"/>
        <v>30.851999999999997</v>
      </c>
      <c r="E64" s="50">
        <f>C64</f>
        <v>8.9999999999999993E-3</v>
      </c>
      <c r="F64" s="82">
        <f t="shared" si="12"/>
        <v>30.851999999999997</v>
      </c>
      <c r="G64" s="153">
        <f>D64+D65+D66</f>
        <v>49.215199999999996</v>
      </c>
      <c r="H64" s="154">
        <f>F64+F65+F66</f>
        <v>49.215199999999996</v>
      </c>
      <c r="I64" s="1" t="s">
        <v>97</v>
      </c>
      <c r="K64" s="56" t="s">
        <v>81</v>
      </c>
      <c r="L64" s="48">
        <f>L61</f>
        <v>0</v>
      </c>
      <c r="M64" s="49">
        <v>8.9999999999999993E-3</v>
      </c>
      <c r="N64" s="59">
        <f t="shared" si="10"/>
        <v>0</v>
      </c>
      <c r="O64" s="50">
        <f>M64</f>
        <v>8.9999999999999993E-3</v>
      </c>
      <c r="P64" s="82">
        <f t="shared" si="13"/>
        <v>0</v>
      </c>
      <c r="Q64" s="153">
        <f>N64+N65+N66</f>
        <v>0</v>
      </c>
      <c r="R64" s="154">
        <f>P64+P65+P66</f>
        <v>0</v>
      </c>
      <c r="S64" s="1" t="s">
        <v>97</v>
      </c>
    </row>
    <row r="65" spans="1:18" x14ac:dyDescent="0.25">
      <c r="A65" s="56" t="s">
        <v>82</v>
      </c>
      <c r="B65" s="48">
        <f>B55</f>
        <v>573.84999999999991</v>
      </c>
      <c r="C65" s="49">
        <v>3.2000000000000001E-2</v>
      </c>
      <c r="D65" s="59">
        <f t="shared" si="8"/>
        <v>18.363199999999999</v>
      </c>
      <c r="E65" s="50">
        <f>C65</f>
        <v>3.2000000000000001E-2</v>
      </c>
      <c r="F65" s="82">
        <f t="shared" si="12"/>
        <v>18.363199999999999</v>
      </c>
      <c r="K65" s="56" t="s">
        <v>82</v>
      </c>
      <c r="L65" s="48">
        <f>L55</f>
        <v>0</v>
      </c>
      <c r="M65" s="49">
        <v>3.2000000000000001E-2</v>
      </c>
      <c r="N65" s="59">
        <f t="shared" si="10"/>
        <v>0</v>
      </c>
      <c r="O65" s="50">
        <f>M65</f>
        <v>3.2000000000000001E-2</v>
      </c>
      <c r="P65" s="82">
        <f t="shared" si="13"/>
        <v>0</v>
      </c>
    </row>
    <row r="66" spans="1:18" x14ac:dyDescent="0.25">
      <c r="A66" s="57" t="s">
        <v>83</v>
      </c>
      <c r="B66" s="52">
        <f>IF(B19&gt;0,  IF((B19+B56-B54-B55)&gt;=$G$1,B56-B54-B55,0), 0 )</f>
        <v>0</v>
      </c>
      <c r="C66" s="53">
        <v>3.5000000000000003E-2</v>
      </c>
      <c r="D66" s="60">
        <f t="shared" si="8"/>
        <v>0</v>
      </c>
      <c r="E66" s="54">
        <f>C66</f>
        <v>3.5000000000000003E-2</v>
      </c>
      <c r="F66" s="83">
        <f t="shared" si="12"/>
        <v>0</v>
      </c>
      <c r="H66" s="34"/>
      <c r="K66" s="57" t="s">
        <v>83</v>
      </c>
      <c r="L66" s="52">
        <f>IF(L19&gt;0,  IF((L19+L56-L54-L55)&gt;=$G$1,L56-L54-L55,0), 0 )</f>
        <v>0</v>
      </c>
      <c r="M66" s="53">
        <v>3.5000000000000003E-2</v>
      </c>
      <c r="N66" s="60">
        <f t="shared" si="10"/>
        <v>0</v>
      </c>
      <c r="O66" s="54">
        <f>M66</f>
        <v>3.5000000000000003E-2</v>
      </c>
      <c r="P66" s="83">
        <f t="shared" si="13"/>
        <v>0</v>
      </c>
      <c r="R66" s="34"/>
    </row>
    <row r="67" spans="1:18" x14ac:dyDescent="0.25">
      <c r="A67" s="79" t="s">
        <v>84</v>
      </c>
      <c r="B67" s="42">
        <f>B56</f>
        <v>4001.85</v>
      </c>
      <c r="C67" s="43"/>
      <c r="D67" s="43"/>
      <c r="E67" s="44">
        <v>5.2499999999999998E-2</v>
      </c>
      <c r="F67" s="45">
        <f>E67*B67</f>
        <v>210.09712499999998</v>
      </c>
      <c r="K67" s="79" t="s">
        <v>84</v>
      </c>
      <c r="L67" s="42">
        <f>L56</f>
        <v>0</v>
      </c>
      <c r="M67" s="43"/>
      <c r="N67" s="43"/>
      <c r="O67" s="44">
        <v>5.2499999999999998E-2</v>
      </c>
      <c r="P67" s="45">
        <f>O67*L67</f>
        <v>0</v>
      </c>
    </row>
    <row r="68" spans="1:18" x14ac:dyDescent="0.25">
      <c r="A68" s="86" t="s">
        <v>85</v>
      </c>
      <c r="B68" s="87"/>
      <c r="C68" s="88"/>
      <c r="D68" s="88"/>
      <c r="E68" s="89"/>
      <c r="F68" s="90"/>
      <c r="K68" s="86" t="s">
        <v>85</v>
      </c>
      <c r="L68" s="87"/>
      <c r="M68" s="88"/>
      <c r="N68" s="88"/>
      <c r="O68" s="89"/>
      <c r="P68" s="90"/>
    </row>
    <row r="69" spans="1:18" x14ac:dyDescent="0.25">
      <c r="A69" s="91" t="s">
        <v>86</v>
      </c>
      <c r="B69" s="92">
        <f>B56</f>
        <v>4001.85</v>
      </c>
      <c r="C69" s="93">
        <v>2.4000000000000001E-4</v>
      </c>
      <c r="D69" s="92">
        <f>C69*B69</f>
        <v>0.96044399999999996</v>
      </c>
      <c r="E69" s="94">
        <v>3.5931292944418913E-4</v>
      </c>
      <c r="F69" s="95">
        <f>E69*B69</f>
        <v>1.4379164466962282</v>
      </c>
      <c r="K69" s="91" t="s">
        <v>86</v>
      </c>
      <c r="L69" s="92">
        <f>L56</f>
        <v>0</v>
      </c>
      <c r="M69" s="93">
        <f>IF('Simulateur CFDT '!D12='Simulateur CFDT '!P20,0.00024,0)</f>
        <v>2.4000000000000001E-4</v>
      </c>
      <c r="N69" s="92">
        <f>M69*L69</f>
        <v>0</v>
      </c>
      <c r="O69" s="94">
        <v>3.5931292944418913E-4</v>
      </c>
      <c r="P69" s="95">
        <f>O69*L69</f>
        <v>0</v>
      </c>
    </row>
    <row r="70" spans="1:18" x14ac:dyDescent="0.25">
      <c r="A70" s="47" t="s">
        <v>87</v>
      </c>
      <c r="B70" s="48">
        <f>B69</f>
        <v>4001.85</v>
      </c>
      <c r="C70" s="49">
        <f>C33</f>
        <v>0</v>
      </c>
      <c r="D70" s="48">
        <f t="shared" ref="D70" si="14">C70*B70</f>
        <v>0</v>
      </c>
      <c r="E70" s="50"/>
      <c r="F70" s="51"/>
      <c r="K70" s="47" t="s">
        <v>87</v>
      </c>
      <c r="L70" s="48">
        <f>L69</f>
        <v>0</v>
      </c>
      <c r="M70" s="49">
        <f>'Amadeus France'!C112</f>
        <v>0</v>
      </c>
      <c r="N70" s="48">
        <f t="shared" ref="N70" si="15">M70*L70</f>
        <v>0</v>
      </c>
      <c r="O70" s="50"/>
      <c r="P70" s="51"/>
    </row>
    <row r="71" spans="1:18" x14ac:dyDescent="0.25">
      <c r="A71" s="46" t="s">
        <v>88</v>
      </c>
      <c r="B71" s="52">
        <f>B56</f>
        <v>4001.85</v>
      </c>
      <c r="C71" s="53"/>
      <c r="D71" s="52">
        <f>C71*B71</f>
        <v>0</v>
      </c>
      <c r="E71" s="54">
        <v>4.1999466048942842E-2</v>
      </c>
      <c r="F71" s="55">
        <f t="shared" ref="F71" si="16">E71*B71</f>
        <v>168.07556320796192</v>
      </c>
      <c r="K71" s="46" t="s">
        <v>88</v>
      </c>
      <c r="L71" s="52">
        <f>L56</f>
        <v>0</v>
      </c>
      <c r="M71" s="53"/>
      <c r="N71" s="52">
        <f>M71*L71</f>
        <v>0</v>
      </c>
      <c r="O71" s="54">
        <v>4.1999466048942842E-2</v>
      </c>
      <c r="P71" s="55">
        <f t="shared" ref="P71" si="17">O71*L71</f>
        <v>0</v>
      </c>
    </row>
    <row r="72" spans="1:18" x14ac:dyDescent="0.25">
      <c r="A72" s="86" t="s">
        <v>89</v>
      </c>
      <c r="B72" s="87">
        <f>C47*$I$1+H53</f>
        <v>4070.346125</v>
      </c>
      <c r="C72" s="88"/>
      <c r="D72" s="88"/>
      <c r="E72" s="89">
        <v>6.6242245000000005E-2</v>
      </c>
      <c r="F72" s="90">
        <f>E72*B73</f>
        <v>265.09152815325001</v>
      </c>
      <c r="G72" s="679" t="s">
        <v>90</v>
      </c>
      <c r="H72" s="673"/>
      <c r="K72" s="86" t="s">
        <v>89</v>
      </c>
      <c r="L72" s="87">
        <f>M47*$I$1+R53</f>
        <v>69.930000000000007</v>
      </c>
      <c r="M72" s="88"/>
      <c r="N72" s="88"/>
      <c r="O72" s="89">
        <v>6.6242245000000005E-2</v>
      </c>
      <c r="P72" s="90">
        <f>O72*L73</f>
        <v>0</v>
      </c>
      <c r="Q72" s="679" t="s">
        <v>90</v>
      </c>
      <c r="R72" s="673"/>
    </row>
    <row r="73" spans="1:18" x14ac:dyDescent="0.25">
      <c r="A73" s="91" t="s">
        <v>91</v>
      </c>
      <c r="B73" s="84">
        <f>B56</f>
        <v>4001.85</v>
      </c>
      <c r="C73" s="85"/>
      <c r="D73" s="84"/>
      <c r="E73" s="50">
        <v>2.0999999999999999E-3</v>
      </c>
      <c r="F73" s="51">
        <f>E73*B73</f>
        <v>8.4038849999999989</v>
      </c>
      <c r="G73" s="71" t="s">
        <v>38</v>
      </c>
      <c r="H73" s="72" t="s">
        <v>27</v>
      </c>
      <c r="K73" s="91" t="s">
        <v>91</v>
      </c>
      <c r="L73" s="84">
        <f>L56</f>
        <v>0</v>
      </c>
      <c r="M73" s="85"/>
      <c r="N73" s="84"/>
      <c r="O73" s="50">
        <v>2.0999999999999999E-3</v>
      </c>
      <c r="P73" s="51">
        <f>O73*L73</f>
        <v>0</v>
      </c>
      <c r="Q73" s="71" t="s">
        <v>38</v>
      </c>
      <c r="R73" s="72" t="s">
        <v>27</v>
      </c>
    </row>
    <row r="74" spans="1:18" x14ac:dyDescent="0.25">
      <c r="A74" s="47" t="s">
        <v>92</v>
      </c>
      <c r="B74" s="48">
        <f>B72</f>
        <v>4070.346125</v>
      </c>
      <c r="C74" s="49">
        <v>6.8000000000000005E-2</v>
      </c>
      <c r="D74" s="48">
        <f>B74*C74</f>
        <v>276.78353650000003</v>
      </c>
      <c r="E74" s="97"/>
      <c r="F74" s="96"/>
      <c r="G74" s="98">
        <f>D74+D75</f>
        <v>394.82357412500005</v>
      </c>
      <c r="H74" s="65"/>
      <c r="K74" s="47" t="s">
        <v>92</v>
      </c>
      <c r="L74" s="48">
        <f>L72</f>
        <v>69.930000000000007</v>
      </c>
      <c r="M74" s="49">
        <v>6.8000000000000005E-2</v>
      </c>
      <c r="N74" s="48">
        <f>L74*M74</f>
        <v>4.7552400000000006</v>
      </c>
      <c r="O74" s="97"/>
      <c r="P74" s="96"/>
      <c r="Q74" s="98">
        <f>N74+N75</f>
        <v>6.7832100000000004</v>
      </c>
      <c r="R74" s="65"/>
    </row>
    <row r="75" spans="1:18" x14ac:dyDescent="0.25">
      <c r="A75" s="47" t="s">
        <v>93</v>
      </c>
      <c r="B75" s="48">
        <f>B74</f>
        <v>4070.346125</v>
      </c>
      <c r="C75" s="49">
        <v>2.9000000000000001E-2</v>
      </c>
      <c r="D75" s="48">
        <f>B75*C75</f>
        <v>118.04003762500001</v>
      </c>
      <c r="E75" s="97"/>
      <c r="F75" s="96"/>
      <c r="G75" s="66">
        <f>G74/C47</f>
        <v>9.8660263159538727E-2</v>
      </c>
      <c r="H75" s="70"/>
      <c r="K75" s="47" t="s">
        <v>93</v>
      </c>
      <c r="L75" s="48">
        <f>L74</f>
        <v>69.930000000000007</v>
      </c>
      <c r="M75" s="49">
        <v>2.9000000000000001E-2</v>
      </c>
      <c r="N75" s="48">
        <f>L75*M75</f>
        <v>2.0279700000000003</v>
      </c>
      <c r="O75" s="97"/>
      <c r="P75" s="96"/>
      <c r="Q75" s="66" t="e">
        <f>Q74/M47</f>
        <v>#DIV/0!</v>
      </c>
      <c r="R75" s="70"/>
    </row>
    <row r="76" spans="1:18" x14ac:dyDescent="0.25">
      <c r="A76" s="109" t="s">
        <v>94</v>
      </c>
      <c r="B76" s="110">
        <v>0</v>
      </c>
      <c r="C76" s="111">
        <v>9.7000000000000003E-2</v>
      </c>
      <c r="D76" s="110">
        <f>C76*B76</f>
        <v>0</v>
      </c>
      <c r="E76" s="112"/>
      <c r="F76" s="101"/>
      <c r="K76" s="109" t="s">
        <v>94</v>
      </c>
      <c r="L76" s="110">
        <v>0</v>
      </c>
      <c r="M76" s="111">
        <v>9.7000000000000003E-2</v>
      </c>
      <c r="N76" s="110">
        <f>M76*L76</f>
        <v>0</v>
      </c>
      <c r="O76" s="112"/>
      <c r="P76" s="101"/>
    </row>
    <row r="78" spans="1:18" x14ac:dyDescent="0.25">
      <c r="K78" s="402" t="str">
        <f>K39</f>
        <v>CADRE</v>
      </c>
      <c r="M78" s="380" t="str">
        <f>M39</f>
        <v>ARTT 1 &amp; 3</v>
      </c>
      <c r="N78" s="380" t="s">
        <v>8</v>
      </c>
      <c r="O78" s="1" t="str">
        <f>O39</f>
        <v>Neutre</v>
      </c>
      <c r="P78" s="401" t="str">
        <f>P39</f>
        <v>Issy-les Moulineaux</v>
      </c>
    </row>
    <row r="79" spans="1:18" x14ac:dyDescent="0.25">
      <c r="K79" s="19" t="s">
        <v>102</v>
      </c>
      <c r="L79" s="381">
        <v>3.6999999999999998E-2</v>
      </c>
      <c r="M79" s="34">
        <f>L79*I41+I41</f>
        <v>0</v>
      </c>
      <c r="N79" s="34">
        <f>I42*L79+I42</f>
        <v>0</v>
      </c>
      <c r="O79" s="34">
        <f>L79*$I$43+$I$43</f>
        <v>0</v>
      </c>
      <c r="P79" s="1" t="s">
        <v>10</v>
      </c>
    </row>
    <row r="80" spans="1:18" x14ac:dyDescent="0.25">
      <c r="K80" s="19" t="s">
        <v>102</v>
      </c>
      <c r="L80" s="381">
        <v>0.03</v>
      </c>
      <c r="M80" s="34">
        <f>I41*L80+I41</f>
        <v>0</v>
      </c>
      <c r="N80" s="34">
        <f>I42*L80+I42</f>
        <v>0</v>
      </c>
      <c r="O80" s="34">
        <f t="shared" ref="O80:O81" si="18">L80*$I$43+$I$43</f>
        <v>0</v>
      </c>
      <c r="P80" s="1" t="s">
        <v>16</v>
      </c>
    </row>
    <row r="81" spans="11:19" x14ac:dyDescent="0.25">
      <c r="K81" s="19" t="s">
        <v>104</v>
      </c>
      <c r="L81" s="381">
        <v>0.03</v>
      </c>
      <c r="M81" s="34">
        <f>I41*L81+I41</f>
        <v>0</v>
      </c>
      <c r="N81" s="34">
        <f>L81*I42+I42</f>
        <v>0</v>
      </c>
      <c r="O81" s="34">
        <f t="shared" si="18"/>
        <v>0</v>
      </c>
      <c r="P81" s="1" t="s">
        <v>105</v>
      </c>
    </row>
    <row r="83" spans="11:19" ht="18" x14ac:dyDescent="0.25">
      <c r="K83" s="74" t="s">
        <v>107</v>
      </c>
      <c r="L83" s="75"/>
      <c r="M83" s="666" t="s">
        <v>101</v>
      </c>
      <c r="N83" s="666"/>
      <c r="O83" s="666"/>
      <c r="P83" s="667"/>
    </row>
    <row r="84" spans="11:19" x14ac:dyDescent="0.25">
      <c r="L84" s="677" t="s">
        <v>57</v>
      </c>
      <c r="M84" s="677"/>
      <c r="N84" s="677"/>
      <c r="O84" s="3">
        <v>1</v>
      </c>
      <c r="P84" s="2" t="s">
        <v>58</v>
      </c>
      <c r="Q84" s="679" t="s">
        <v>59</v>
      </c>
      <c r="R84" s="673"/>
    </row>
    <row r="85" spans="11:19" x14ac:dyDescent="0.25">
      <c r="L85" s="41" t="s">
        <v>60</v>
      </c>
      <c r="M85" s="41" t="s">
        <v>61</v>
      </c>
      <c r="N85" s="41" t="s">
        <v>62</v>
      </c>
      <c r="O85" s="678" t="s">
        <v>63</v>
      </c>
      <c r="P85" s="678"/>
      <c r="Q85" s="63" t="s">
        <v>38</v>
      </c>
      <c r="R85" s="64" t="s">
        <v>27</v>
      </c>
    </row>
    <row r="86" spans="11:19" ht="18.75" x14ac:dyDescent="0.3">
      <c r="K86" s="15">
        <f>M87+M88+M89</f>
        <v>1.8499999999999999</v>
      </c>
      <c r="L86" s="5"/>
      <c r="M86" s="102">
        <f>M87+M88+M89</f>
        <v>1.8499999999999999</v>
      </c>
      <c r="N86" s="99">
        <f>M86-Q86</f>
        <v>-64.859380617500008</v>
      </c>
      <c r="O86" s="7"/>
      <c r="P86" s="4">
        <f>SUM(P91:P116)</f>
        <v>72.666422839138306</v>
      </c>
      <c r="Q86" s="73">
        <f>Q93+Q100+Q114</f>
        <v>66.709380617500003</v>
      </c>
      <c r="R86" s="65">
        <f>P86</f>
        <v>72.666422839138306</v>
      </c>
    </row>
    <row r="87" spans="11:19" ht="15.75" x14ac:dyDescent="0.25">
      <c r="K87" s="19" t="s">
        <v>64</v>
      </c>
      <c r="L87" s="5"/>
      <c r="M87" s="103">
        <f>IF('Fusion CFDT '!C30='Fusion CFDT '!Q29,  IF('Fusion CFDT '!F5='Fusion CFDT '!Q12,   IF('Fusion CFDT '!L5='Fusion CFDT '!R13,  O79, O80 ),  O81 ), IF('Fusion CFDT '!I5='Fusion CFDT '!S13, IF('Fusion CFDT '!F5='Fusion CFDT '!Q12,  IF('Fusion CFDT '!L5='Fusion CFDT '!R13,  N79, N81 ), N81), IF('Fusion CFDT '!F5='Fusion CFDT '!Q12,  IF('Fusion CFDT '!L5='Fusion CFDT '!R13,  M79, M81 ), M81)))</f>
        <v>0</v>
      </c>
      <c r="N87" s="6"/>
      <c r="O87" s="7"/>
      <c r="P87" s="4"/>
      <c r="Q87" s="100">
        <f>Q86/M86</f>
        <v>36.059124658108111</v>
      </c>
      <c r="R87" s="67">
        <f>R86/M86</f>
        <v>39.2791474806153</v>
      </c>
    </row>
    <row r="88" spans="11:19" ht="15.75" x14ac:dyDescent="0.25">
      <c r="K88" s="78" t="s">
        <v>65</v>
      </c>
      <c r="L88" s="5"/>
      <c r="M88" s="80">
        <f>P93</f>
        <v>1.8499999999999999</v>
      </c>
      <c r="N88" s="6"/>
      <c r="O88" s="7"/>
      <c r="P88" s="4"/>
    </row>
    <row r="89" spans="11:19" ht="17.25" customHeight="1" x14ac:dyDescent="0.25">
      <c r="K89" s="19" t="s">
        <v>274</v>
      </c>
      <c r="L89" s="34"/>
    </row>
    <row r="90" spans="11:19" ht="17.25" customHeight="1" x14ac:dyDescent="0.25">
      <c r="K90" s="19"/>
      <c r="L90" s="34"/>
    </row>
    <row r="91" spans="11:19" x14ac:dyDescent="0.25">
      <c r="K91" s="86" t="s">
        <v>67</v>
      </c>
      <c r="L91" s="87"/>
      <c r="M91" s="88"/>
      <c r="N91" s="88"/>
      <c r="O91" s="89"/>
      <c r="P91" s="90"/>
      <c r="Q91" s="679" t="s">
        <v>68</v>
      </c>
      <c r="R91" s="673"/>
    </row>
    <row r="92" spans="11:19" x14ac:dyDescent="0.25">
      <c r="K92" s="56" t="s">
        <v>33</v>
      </c>
      <c r="L92" s="48">
        <f>$E$1</f>
        <v>3428</v>
      </c>
      <c r="M92" s="49">
        <v>1.67E-2</v>
      </c>
      <c r="N92" s="58">
        <f>N52</f>
        <v>57.25</v>
      </c>
      <c r="O92" s="50">
        <v>2.0399649941656946E-2</v>
      </c>
      <c r="P92" s="82">
        <f>O92*L92</f>
        <v>69.930000000000007</v>
      </c>
      <c r="Q92" s="63" t="s">
        <v>38</v>
      </c>
      <c r="R92" s="64" t="s">
        <v>27</v>
      </c>
    </row>
    <row r="93" spans="11:19" x14ac:dyDescent="0.25">
      <c r="K93" s="56" t="s">
        <v>69</v>
      </c>
      <c r="L93" s="48">
        <f>$E$1</f>
        <v>3428</v>
      </c>
      <c r="M93" s="49">
        <v>6.6E-4</v>
      </c>
      <c r="N93" s="58">
        <f>M93*L93</f>
        <v>2.26248</v>
      </c>
      <c r="O93" s="50">
        <v>5.3967327887981329E-4</v>
      </c>
      <c r="P93" s="82">
        <f>O93*L93</f>
        <v>1.8499999999999999</v>
      </c>
      <c r="Q93" s="73">
        <f>N92+N93+N94+N95+N104+N105+N106</f>
        <v>59.537732499999997</v>
      </c>
      <c r="R93" s="65">
        <f>P92+P94+P95+P104+P105+P106</f>
        <v>69.9552525</v>
      </c>
    </row>
    <row r="94" spans="11:19" x14ac:dyDescent="0.25">
      <c r="K94" s="56" t="s">
        <v>70</v>
      </c>
      <c r="L94" s="48">
        <f>IF(M86&gt;$E$1,$E$1, M86)</f>
        <v>1.8499999999999999</v>
      </c>
      <c r="M94" s="49">
        <v>4.6499999999999996E-3</v>
      </c>
      <c r="N94" s="58">
        <f>M94*L94</f>
        <v>8.602499999999999E-3</v>
      </c>
      <c r="O94" s="50">
        <f>M94</f>
        <v>4.6499999999999996E-3</v>
      </c>
      <c r="P94" s="82">
        <f>O94*L94</f>
        <v>8.602499999999999E-3</v>
      </c>
      <c r="Q94" s="116">
        <f>Q93/M86</f>
        <v>32.182558108108111</v>
      </c>
      <c r="R94" s="117">
        <f>R93/M86</f>
        <v>37.813650000000003</v>
      </c>
    </row>
    <row r="95" spans="11:19" x14ac:dyDescent="0.25">
      <c r="K95" s="56" t="s">
        <v>71</v>
      </c>
      <c r="L95" s="48">
        <f>IF((L96-L94)&lt;0,0,IF((L96-L94)&lt;$G$1,L96-L94,$G$1))</f>
        <v>0</v>
      </c>
      <c r="M95" s="49">
        <v>6.0000000000000001E-3</v>
      </c>
      <c r="N95" s="58">
        <f>M95*L95</f>
        <v>0</v>
      </c>
      <c r="O95" s="50">
        <v>6.0000000000000001E-3</v>
      </c>
      <c r="P95" s="115">
        <f t="shared" ref="P95" si="19">O95*L95</f>
        <v>0</v>
      </c>
      <c r="Q95" s="158">
        <f>N92+N93</f>
        <v>59.512479999999996</v>
      </c>
      <c r="R95" s="154">
        <f>P92+P93</f>
        <v>71.78</v>
      </c>
      <c r="S95" s="1" t="s">
        <v>33</v>
      </c>
    </row>
    <row r="96" spans="11:19" x14ac:dyDescent="0.25">
      <c r="K96" s="46" t="s">
        <v>72</v>
      </c>
      <c r="L96" s="77">
        <f>M86</f>
        <v>1.8499999999999999</v>
      </c>
      <c r="M96" s="76"/>
      <c r="N96" s="52"/>
      <c r="O96" s="54">
        <v>0.12999901640594699</v>
      </c>
      <c r="P96" s="68">
        <f>O96*L96</f>
        <v>0.24049818035100193</v>
      </c>
      <c r="Q96" s="159">
        <f>N94+N95</f>
        <v>8.602499999999999E-3</v>
      </c>
      <c r="R96" s="160">
        <f>P94+P95</f>
        <v>8.602499999999999E-3</v>
      </c>
      <c r="S96" s="1" t="s">
        <v>34</v>
      </c>
    </row>
    <row r="97" spans="11:19" x14ac:dyDescent="0.25">
      <c r="K97" s="79" t="s">
        <v>73</v>
      </c>
      <c r="L97" s="42">
        <f>L96</f>
        <v>1.8499999999999999</v>
      </c>
      <c r="M97" s="43"/>
      <c r="N97" s="43"/>
      <c r="O97" s="44">
        <v>7.7000000000000002E-3</v>
      </c>
      <c r="P97" s="45">
        <f>O97*L97</f>
        <v>1.4244999999999999E-2</v>
      </c>
    </row>
    <row r="98" spans="11:19" x14ac:dyDescent="0.25">
      <c r="K98" s="86" t="s">
        <v>74</v>
      </c>
      <c r="L98" s="87"/>
      <c r="M98" s="88"/>
      <c r="N98" s="88"/>
      <c r="O98" s="89"/>
      <c r="P98" s="90"/>
      <c r="Q98" s="679" t="s">
        <v>75</v>
      </c>
      <c r="R98" s="673"/>
    </row>
    <row r="99" spans="11:19" x14ac:dyDescent="0.25">
      <c r="K99" s="91" t="s">
        <v>76</v>
      </c>
      <c r="L99" s="92">
        <f>L94</f>
        <v>1.8499999999999999</v>
      </c>
      <c r="M99" s="93">
        <v>6.9000000000000006E-2</v>
      </c>
      <c r="N99" s="92">
        <f t="shared" ref="N99:N106" si="20">M99*L99</f>
        <v>0.12765000000000001</v>
      </c>
      <c r="O99" s="94">
        <v>8.5498833138856464E-2</v>
      </c>
      <c r="P99" s="95">
        <f t="shared" ref="P99:P100" si="21">O99*L99</f>
        <v>0.15817284130688444</v>
      </c>
      <c r="Q99" s="63" t="s">
        <v>38</v>
      </c>
      <c r="R99" s="64" t="s">
        <v>27</v>
      </c>
    </row>
    <row r="100" spans="11:19" x14ac:dyDescent="0.25">
      <c r="K100" s="47" t="s">
        <v>77</v>
      </c>
      <c r="L100" s="84">
        <f>L96</f>
        <v>1.8499999999999999</v>
      </c>
      <c r="M100" s="85">
        <v>4.0000000000000001E-3</v>
      </c>
      <c r="N100" s="84">
        <f t="shared" si="20"/>
        <v>7.3999999999999995E-3</v>
      </c>
      <c r="O100" s="50">
        <v>1.899942389491201E-2</v>
      </c>
      <c r="P100" s="51">
        <f t="shared" si="21"/>
        <v>3.5148934205587214E-2</v>
      </c>
      <c r="Q100" s="73">
        <f>N99+N100+N101+N102+N103+N109+N110</f>
        <v>0.209679</v>
      </c>
      <c r="R100" s="65"/>
    </row>
    <row r="101" spans="11:19" x14ac:dyDescent="0.25">
      <c r="K101" s="47" t="s">
        <v>78</v>
      </c>
      <c r="L101" s="48">
        <f>L99</f>
        <v>1.8499999999999999</v>
      </c>
      <c r="M101" s="49">
        <v>4.0099999999999997E-2</v>
      </c>
      <c r="N101" s="48">
        <f t="shared" si="20"/>
        <v>7.4184999999999987E-2</v>
      </c>
      <c r="O101" s="50">
        <v>6.0099183197199535E-2</v>
      </c>
      <c r="P101" s="51">
        <f>O101*L101</f>
        <v>0.11118348891481913</v>
      </c>
      <c r="Q101" s="66">
        <f>Q100/M86</f>
        <v>0.11334000000000001</v>
      </c>
      <c r="R101" s="67"/>
    </row>
    <row r="102" spans="11:19" x14ac:dyDescent="0.25">
      <c r="K102" s="47" t="s">
        <v>79</v>
      </c>
      <c r="L102" s="48">
        <f>L95</f>
        <v>0</v>
      </c>
      <c r="M102" s="49">
        <v>9.7199999999999995E-2</v>
      </c>
      <c r="N102" s="48">
        <f t="shared" si="20"/>
        <v>0</v>
      </c>
      <c r="O102" s="50">
        <v>0.145705</v>
      </c>
      <c r="P102" s="51">
        <f>O102*L102</f>
        <v>0</v>
      </c>
    </row>
    <row r="103" spans="11:19" x14ac:dyDescent="0.25">
      <c r="K103" s="81" t="s">
        <v>80</v>
      </c>
      <c r="L103" s="48">
        <f>IF(L102=0,0,L100)</f>
        <v>0</v>
      </c>
      <c r="M103" s="49">
        <v>1.4E-3</v>
      </c>
      <c r="N103" s="48">
        <f t="shared" si="20"/>
        <v>0</v>
      </c>
      <c r="O103" s="50">
        <v>2.0996722022269378E-3</v>
      </c>
      <c r="P103" s="51">
        <f t="shared" ref="P103:P106" si="22">O103*L103</f>
        <v>0</v>
      </c>
    </row>
    <row r="104" spans="11:19" x14ac:dyDescent="0.25">
      <c r="K104" s="56" t="s">
        <v>81</v>
      </c>
      <c r="L104" s="48">
        <f>L101</f>
        <v>1.8499999999999999</v>
      </c>
      <c r="M104" s="49">
        <v>8.9999999999999993E-3</v>
      </c>
      <c r="N104" s="59">
        <f t="shared" si="20"/>
        <v>1.6649999999999998E-2</v>
      </c>
      <c r="O104" s="50">
        <f>M104</f>
        <v>8.9999999999999993E-3</v>
      </c>
      <c r="P104" s="82">
        <f t="shared" si="22"/>
        <v>1.6649999999999998E-2</v>
      </c>
      <c r="Q104" s="153">
        <f>N104+N105+N106</f>
        <v>1.6649999999999998E-2</v>
      </c>
      <c r="R104" s="154">
        <f>P104+P105+P106</f>
        <v>1.6649999999999998E-2</v>
      </c>
      <c r="S104" s="1" t="s">
        <v>97</v>
      </c>
    </row>
    <row r="105" spans="11:19" x14ac:dyDescent="0.25">
      <c r="K105" s="56" t="s">
        <v>82</v>
      </c>
      <c r="L105" s="48">
        <f>L95</f>
        <v>0</v>
      </c>
      <c r="M105" s="49">
        <v>3.2000000000000001E-2</v>
      </c>
      <c r="N105" s="59">
        <f t="shared" si="20"/>
        <v>0</v>
      </c>
      <c r="O105" s="50">
        <f>M105</f>
        <v>3.2000000000000001E-2</v>
      </c>
      <c r="P105" s="82">
        <f t="shared" si="22"/>
        <v>0</v>
      </c>
    </row>
    <row r="106" spans="11:19" x14ac:dyDescent="0.25">
      <c r="K106" s="57" t="s">
        <v>83</v>
      </c>
      <c r="L106" s="52">
        <f>IF(L58&gt;0,  IF((L58+L96-L94-L95)&gt;=$G$1,L96-L94-L95,0), 0 )</f>
        <v>0</v>
      </c>
      <c r="M106" s="53">
        <v>3.5000000000000003E-2</v>
      </c>
      <c r="N106" s="60">
        <f t="shared" si="20"/>
        <v>0</v>
      </c>
      <c r="O106" s="54">
        <f>M106</f>
        <v>3.5000000000000003E-2</v>
      </c>
      <c r="P106" s="83">
        <f t="shared" si="22"/>
        <v>0</v>
      </c>
      <c r="R106" s="34"/>
    </row>
    <row r="107" spans="11:19" x14ac:dyDescent="0.25">
      <c r="K107" s="79" t="s">
        <v>84</v>
      </c>
      <c r="L107" s="42">
        <f>L96</f>
        <v>1.8499999999999999</v>
      </c>
      <c r="M107" s="43"/>
      <c r="N107" s="43"/>
      <c r="O107" s="44">
        <v>5.2499999999999998E-2</v>
      </c>
      <c r="P107" s="45">
        <f>O107*L107</f>
        <v>9.7124999999999989E-2</v>
      </c>
    </row>
    <row r="108" spans="11:19" x14ac:dyDescent="0.25">
      <c r="K108" s="86" t="s">
        <v>85</v>
      </c>
      <c r="L108" s="87"/>
      <c r="M108" s="88"/>
      <c r="N108" s="88"/>
      <c r="O108" s="89"/>
      <c r="P108" s="90"/>
    </row>
    <row r="109" spans="11:19" x14ac:dyDescent="0.25">
      <c r="K109" s="91" t="s">
        <v>86</v>
      </c>
      <c r="L109" s="92">
        <f>L96</f>
        <v>1.8499999999999999</v>
      </c>
      <c r="M109" s="93">
        <v>2.4000000000000001E-4</v>
      </c>
      <c r="N109" s="92">
        <f>M109*L109</f>
        <v>4.44E-4</v>
      </c>
      <c r="O109" s="94">
        <v>3.5931292944418913E-4</v>
      </c>
      <c r="P109" s="95">
        <f>O109*L109</f>
        <v>6.6472891947174989E-4</v>
      </c>
    </row>
    <row r="110" spans="11:19" x14ac:dyDescent="0.25">
      <c r="K110" s="47" t="s">
        <v>87</v>
      </c>
      <c r="L110" s="48">
        <f>L109</f>
        <v>1.8499999999999999</v>
      </c>
      <c r="M110" s="49">
        <f>M70</f>
        <v>0</v>
      </c>
      <c r="N110" s="48">
        <f t="shared" ref="N110" si="23">M110*L110</f>
        <v>0</v>
      </c>
      <c r="O110" s="50"/>
      <c r="P110" s="51"/>
    </row>
    <row r="111" spans="11:19" x14ac:dyDescent="0.25">
      <c r="K111" s="46" t="s">
        <v>88</v>
      </c>
      <c r="L111" s="52">
        <f>L96</f>
        <v>1.8499999999999999</v>
      </c>
      <c r="M111" s="53"/>
      <c r="N111" s="52">
        <f>M111*L111</f>
        <v>0</v>
      </c>
      <c r="O111" s="54">
        <v>4.1999466048942842E-2</v>
      </c>
      <c r="P111" s="55">
        <f t="shared" ref="P111" si="24">O111*L111</f>
        <v>7.7699012190544259E-2</v>
      </c>
    </row>
    <row r="112" spans="11:19" x14ac:dyDescent="0.25">
      <c r="K112" s="86" t="s">
        <v>89</v>
      </c>
      <c r="L112" s="87">
        <f>M86*$I$1+R93</f>
        <v>71.772877500000007</v>
      </c>
      <c r="M112" s="88"/>
      <c r="N112" s="88"/>
      <c r="O112" s="89">
        <v>6.6242245000000005E-2</v>
      </c>
      <c r="P112" s="90">
        <f>O112*L113</f>
        <v>0.12254815325</v>
      </c>
      <c r="Q112" s="679" t="s">
        <v>90</v>
      </c>
      <c r="R112" s="673"/>
    </row>
    <row r="113" spans="11:18" x14ac:dyDescent="0.25">
      <c r="K113" s="91" t="s">
        <v>91</v>
      </c>
      <c r="L113" s="84">
        <f>L96</f>
        <v>1.8499999999999999</v>
      </c>
      <c r="M113" s="85"/>
      <c r="N113" s="84"/>
      <c r="O113" s="50">
        <v>2.0999999999999999E-3</v>
      </c>
      <c r="P113" s="51">
        <f>O113*L113</f>
        <v>3.8849999999999996E-3</v>
      </c>
      <c r="Q113" s="71" t="s">
        <v>38</v>
      </c>
      <c r="R113" s="72" t="s">
        <v>27</v>
      </c>
    </row>
    <row r="114" spans="11:18" x14ac:dyDescent="0.25">
      <c r="K114" s="47" t="s">
        <v>92</v>
      </c>
      <c r="L114" s="48">
        <f>L112</f>
        <v>71.772877500000007</v>
      </c>
      <c r="M114" s="49">
        <v>6.8000000000000005E-2</v>
      </c>
      <c r="N114" s="48">
        <f>L114*M114</f>
        <v>4.8805556700000006</v>
      </c>
      <c r="O114" s="97"/>
      <c r="P114" s="96"/>
      <c r="Q114" s="98">
        <f>N114+N115</f>
        <v>6.9619691175000007</v>
      </c>
      <c r="R114" s="65"/>
    </row>
    <row r="115" spans="11:18" x14ac:dyDescent="0.25">
      <c r="K115" s="47" t="s">
        <v>93</v>
      </c>
      <c r="L115" s="48">
        <f>L114</f>
        <v>71.772877500000007</v>
      </c>
      <c r="M115" s="49">
        <v>2.9000000000000001E-2</v>
      </c>
      <c r="N115" s="48">
        <f>L115*M115</f>
        <v>2.0814134475000001</v>
      </c>
      <c r="O115" s="97"/>
      <c r="P115" s="96"/>
      <c r="Q115" s="66">
        <f>Q114/M86</f>
        <v>3.7632265500000006</v>
      </c>
      <c r="R115" s="70"/>
    </row>
    <row r="116" spans="11:18" x14ac:dyDescent="0.25">
      <c r="K116" s="109" t="s">
        <v>94</v>
      </c>
      <c r="L116" s="110">
        <v>0</v>
      </c>
      <c r="M116" s="111">
        <v>9.7000000000000003E-2</v>
      </c>
      <c r="N116" s="110">
        <f>M116*L116</f>
        <v>0</v>
      </c>
      <c r="O116" s="112"/>
      <c r="P116" s="101"/>
    </row>
  </sheetData>
  <mergeCells count="29">
    <mergeCell ref="Q98:R98"/>
    <mergeCell ref="Q112:R112"/>
    <mergeCell ref="M83:P83"/>
    <mergeCell ref="L84:N84"/>
    <mergeCell ref="Q84:R84"/>
    <mergeCell ref="O85:P85"/>
    <mergeCell ref="Q91:R91"/>
    <mergeCell ref="G14:H14"/>
    <mergeCell ref="G21:H21"/>
    <mergeCell ref="G45:H45"/>
    <mergeCell ref="G58:H58"/>
    <mergeCell ref="G72:H72"/>
    <mergeCell ref="G8:H8"/>
    <mergeCell ref="C6:F6"/>
    <mergeCell ref="B7:D7"/>
    <mergeCell ref="B8:D8"/>
    <mergeCell ref="E9:F9"/>
    <mergeCell ref="C44:F44"/>
    <mergeCell ref="B45:D45"/>
    <mergeCell ref="E46:F46"/>
    <mergeCell ref="G51:H51"/>
    <mergeCell ref="G35:H35"/>
    <mergeCell ref="Q58:R58"/>
    <mergeCell ref="Q72:R72"/>
    <mergeCell ref="M44:P44"/>
    <mergeCell ref="L45:N45"/>
    <mergeCell ref="Q45:R45"/>
    <mergeCell ref="O46:P46"/>
    <mergeCell ref="Q51:R51"/>
  </mergeCells>
  <pageMargins left="0.70000000000000007" right="0.70000000000000007" top="0.75" bottom="0.75" header="0.30000000000000004" footer="0.30000000000000004"/>
  <pageSetup fitToWidth="0" fitToHeight="0" orientation="portrait" r:id="rId1"/>
  <headerFooter>
    <oddHeader>&amp;R&amp;"Calibri"&amp;12&amp;KFF8C00CONFIDENTIAL &amp;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A01C-B731-4B1F-AF7D-BBF6ECCDB90C}">
  <dimension ref="A2:Q62"/>
  <sheetViews>
    <sheetView topLeftCell="A3" zoomScale="110" zoomScaleNormal="110" workbookViewId="0">
      <selection activeCell="B1" sqref="B1"/>
    </sheetView>
  </sheetViews>
  <sheetFormatPr defaultRowHeight="15" x14ac:dyDescent="0.25"/>
  <cols>
    <col min="1" max="1" width="3" style="21" bestFit="1" customWidth="1"/>
    <col min="2" max="2" width="10.42578125" bestFit="1" customWidth="1"/>
    <col min="3" max="3" width="9.140625" style="21"/>
    <col min="4" max="4" width="10.42578125" style="21" bestFit="1" customWidth="1"/>
    <col min="5" max="5" width="11.140625" bestFit="1" customWidth="1"/>
    <col min="6" max="6" width="11.140625" customWidth="1"/>
    <col min="7" max="7" width="9.140625" style="21"/>
    <col min="8" max="8" width="13.140625" customWidth="1"/>
    <col min="9" max="9" width="15.7109375" customWidth="1"/>
    <col min="10" max="10" width="15.42578125" bestFit="1" customWidth="1"/>
    <col min="11" max="11" width="13.5703125" bestFit="1" customWidth="1"/>
    <col min="12" max="12" width="12" customWidth="1"/>
    <col min="13" max="13" width="12.7109375" bestFit="1" customWidth="1"/>
    <col min="14" max="14" width="13.28515625" customWidth="1"/>
    <col min="15" max="15" width="10.140625" customWidth="1"/>
    <col min="16" max="16" width="13.140625" customWidth="1"/>
    <col min="17" max="17" width="12.5703125" customWidth="1"/>
    <col min="18" max="18" width="14.140625" customWidth="1"/>
    <col min="19" max="19" width="13.42578125" customWidth="1"/>
    <col min="22" max="22" width="14" customWidth="1"/>
    <col min="23" max="23" width="12.85546875" customWidth="1"/>
    <col min="25" max="25" width="14.28515625" customWidth="1"/>
    <col min="26" max="26" width="13.28515625" bestFit="1" customWidth="1"/>
  </cols>
  <sheetData>
    <row r="2" spans="1:17" ht="18.75" x14ac:dyDescent="0.3">
      <c r="A2" s="345"/>
      <c r="B2" s="682" t="s">
        <v>19</v>
      </c>
      <c r="C2" s="683"/>
      <c r="D2" s="683"/>
      <c r="E2" s="683"/>
      <c r="F2" s="683"/>
      <c r="G2" s="684"/>
      <c r="H2" s="698" t="s">
        <v>108</v>
      </c>
      <c r="I2" s="699"/>
      <c r="J2" s="699"/>
      <c r="K2" s="699"/>
      <c r="L2" s="699"/>
      <c r="M2" s="699"/>
      <c r="N2" s="699"/>
      <c r="O2" s="700"/>
      <c r="P2" s="685" t="s">
        <v>35</v>
      </c>
      <c r="Q2" s="686"/>
    </row>
    <row r="3" spans="1:17" ht="18.75" x14ac:dyDescent="0.3">
      <c r="A3" s="345"/>
      <c r="B3" s="414"/>
      <c r="C3" s="415"/>
      <c r="D3" s="416"/>
      <c r="E3" s="680" t="s">
        <v>109</v>
      </c>
      <c r="F3" s="680"/>
      <c r="G3" s="681"/>
      <c r="H3" s="696" t="s">
        <v>110</v>
      </c>
      <c r="I3" s="696"/>
      <c r="J3" s="696"/>
      <c r="K3" s="697"/>
      <c r="L3" s="436"/>
      <c r="M3" s="701" t="s">
        <v>111</v>
      </c>
      <c r="N3" s="701"/>
      <c r="O3" s="701"/>
      <c r="P3" s="687"/>
      <c r="Q3" s="688"/>
    </row>
    <row r="4" spans="1:17" ht="18.75" x14ac:dyDescent="0.3">
      <c r="B4" s="342" t="s">
        <v>7</v>
      </c>
      <c r="C4" s="343" t="s">
        <v>112</v>
      </c>
      <c r="D4" s="344"/>
      <c r="E4" s="343" t="s">
        <v>61</v>
      </c>
      <c r="F4" s="343" t="s">
        <v>62</v>
      </c>
      <c r="G4" s="344" t="s">
        <v>113</v>
      </c>
      <c r="H4" s="418" t="s">
        <v>114</v>
      </c>
      <c r="I4" s="418" t="s">
        <v>61</v>
      </c>
      <c r="J4" s="418" t="s">
        <v>62</v>
      </c>
      <c r="K4" s="434" t="s">
        <v>115</v>
      </c>
      <c r="L4" s="432" t="s">
        <v>114</v>
      </c>
      <c r="M4" s="432" t="s">
        <v>61</v>
      </c>
      <c r="N4" s="417" t="s">
        <v>62</v>
      </c>
      <c r="O4" s="349" t="s">
        <v>116</v>
      </c>
      <c r="P4" s="435" t="s">
        <v>117</v>
      </c>
      <c r="Q4" s="434" t="s">
        <v>118</v>
      </c>
    </row>
    <row r="5" spans="1:17" x14ac:dyDescent="0.25">
      <c r="A5" s="366">
        <v>1</v>
      </c>
      <c r="B5" s="367" t="s">
        <v>119</v>
      </c>
      <c r="C5" s="366" t="s">
        <v>6</v>
      </c>
      <c r="D5" s="440" t="s">
        <v>16</v>
      </c>
      <c r="E5" s="368">
        <v>31000</v>
      </c>
      <c r="F5" s="368">
        <v>23352</v>
      </c>
      <c r="G5" s="440">
        <v>0</v>
      </c>
      <c r="H5" s="196">
        <v>0.02</v>
      </c>
      <c r="I5" s="368">
        <v>31620</v>
      </c>
      <c r="J5" s="368">
        <v>23706.22</v>
      </c>
      <c r="K5" s="438">
        <f>(J5-F5)/F5</f>
        <v>1.5168722165125093E-2</v>
      </c>
      <c r="L5" s="433">
        <v>0.02</v>
      </c>
      <c r="M5" s="368">
        <v>32252.400000000001</v>
      </c>
      <c r="N5" s="368">
        <v>24196.32</v>
      </c>
      <c r="O5" s="420">
        <f>(N5-F5)/F5</f>
        <v>3.6156217882836572E-2</v>
      </c>
      <c r="P5" s="369">
        <v>-1259.02</v>
      </c>
      <c r="Q5" s="430">
        <f t="shared" ref="Q5:Q9" si="0">(N5+P5-F5)/F5</f>
        <v>-1.7758650222679032E-2</v>
      </c>
    </row>
    <row r="6" spans="1:17" x14ac:dyDescent="0.25">
      <c r="A6" s="366">
        <f>A5+1</f>
        <v>2</v>
      </c>
      <c r="B6" s="367" t="s">
        <v>119</v>
      </c>
      <c r="C6" s="366" t="s">
        <v>120</v>
      </c>
      <c r="D6" s="440" t="s">
        <v>16</v>
      </c>
      <c r="E6" s="368">
        <v>60000</v>
      </c>
      <c r="F6" s="368">
        <v>45905.05</v>
      </c>
      <c r="G6" s="440">
        <v>0</v>
      </c>
      <c r="H6" s="196">
        <v>0.02</v>
      </c>
      <c r="I6" s="368">
        <v>60000</v>
      </c>
      <c r="J6" s="368">
        <v>46333.04</v>
      </c>
      <c r="K6" s="438">
        <f t="shared" ref="K6:K9" si="1">(J6-F6)/F6</f>
        <v>9.3233750970753305E-3</v>
      </c>
      <c r="L6" s="433">
        <v>0.02</v>
      </c>
      <c r="M6" s="368">
        <v>62424</v>
      </c>
      <c r="N6" s="368">
        <v>47263.49</v>
      </c>
      <c r="O6" s="420">
        <f>(N6-F6)/F6</f>
        <v>2.9592386894252264E-2</v>
      </c>
      <c r="P6" s="369">
        <v>-1947.85</v>
      </c>
      <c r="Q6" s="430">
        <f t="shared" si="0"/>
        <v>-1.2839763816835043E-2</v>
      </c>
    </row>
    <row r="7" spans="1:17" x14ac:dyDescent="0.25">
      <c r="A7" s="366">
        <f t="shared" ref="A7:A9" si="2">A6+1</f>
        <v>3</v>
      </c>
      <c r="B7" s="367" t="s">
        <v>121</v>
      </c>
      <c r="C7" s="366" t="s">
        <v>120</v>
      </c>
      <c r="D7" s="440" t="s">
        <v>16</v>
      </c>
      <c r="E7" s="368">
        <v>41000</v>
      </c>
      <c r="F7" s="368">
        <v>31078.03</v>
      </c>
      <c r="G7" s="440">
        <v>18</v>
      </c>
      <c r="H7" s="196">
        <v>0.05</v>
      </c>
      <c r="I7" s="368">
        <v>43050</v>
      </c>
      <c r="J7" s="368">
        <v>32535.93</v>
      </c>
      <c r="K7" s="438">
        <f t="shared" si="1"/>
        <v>4.6910952849971557E-2</v>
      </c>
      <c r="L7" s="433">
        <v>0.02</v>
      </c>
      <c r="M7" s="368">
        <v>43911</v>
      </c>
      <c r="N7" s="368">
        <v>33190.44</v>
      </c>
      <c r="O7" s="420">
        <f>(N7-F7)/F7</f>
        <v>6.7971168056662645E-2</v>
      </c>
      <c r="P7" s="369">
        <v>-1590.27</v>
      </c>
      <c r="Q7" s="430">
        <f t="shared" si="0"/>
        <v>1.6800936224078654E-2</v>
      </c>
    </row>
    <row r="8" spans="1:17" x14ac:dyDescent="0.25">
      <c r="A8" s="366">
        <f t="shared" si="2"/>
        <v>4</v>
      </c>
      <c r="B8" s="367" t="s">
        <v>121</v>
      </c>
      <c r="C8" s="366" t="s">
        <v>120</v>
      </c>
      <c r="D8" s="440" t="s">
        <v>16</v>
      </c>
      <c r="E8" s="368">
        <v>62000</v>
      </c>
      <c r="F8" s="368">
        <v>47465.9</v>
      </c>
      <c r="G8" s="440">
        <v>18</v>
      </c>
      <c r="H8" s="196">
        <v>0.05</v>
      </c>
      <c r="I8" s="368">
        <v>65100</v>
      </c>
      <c r="J8" s="368">
        <v>49297.71</v>
      </c>
      <c r="K8" s="438">
        <f t="shared" si="1"/>
        <v>3.8592126136868736E-2</v>
      </c>
      <c r="L8" s="433">
        <v>0.02</v>
      </c>
      <c r="M8" s="368">
        <v>66402</v>
      </c>
      <c r="N8" s="368">
        <v>50287.46</v>
      </c>
      <c r="O8" s="420">
        <f>(N8-F8)/F8</f>
        <v>5.944393764786926E-2</v>
      </c>
      <c r="P8" s="369">
        <v>-1920.55</v>
      </c>
      <c r="Q8" s="430">
        <f t="shared" si="0"/>
        <v>1.8982258842663781E-2</v>
      </c>
    </row>
    <row r="9" spans="1:17" x14ac:dyDescent="0.25">
      <c r="A9" s="366">
        <f t="shared" si="2"/>
        <v>5</v>
      </c>
      <c r="B9" s="367" t="s">
        <v>122</v>
      </c>
      <c r="C9" s="366" t="s">
        <v>120</v>
      </c>
      <c r="D9" s="440" t="s">
        <v>16</v>
      </c>
      <c r="E9" s="368">
        <v>80000</v>
      </c>
      <c r="F9" s="368">
        <v>61513.56</v>
      </c>
      <c r="G9" s="440">
        <v>12</v>
      </c>
      <c r="H9" s="196">
        <v>0.02</v>
      </c>
      <c r="I9" s="368">
        <v>81600</v>
      </c>
      <c r="J9" s="368">
        <v>61840.54</v>
      </c>
      <c r="K9" s="438">
        <f t="shared" si="1"/>
        <v>5.3155759478073321E-3</v>
      </c>
      <c r="L9" s="433">
        <v>0.02</v>
      </c>
      <c r="M9" s="368">
        <v>83232</v>
      </c>
      <c r="N9" s="368">
        <v>63081.14</v>
      </c>
      <c r="O9" s="420">
        <f>(N9-F9)/F9</f>
        <v>2.5483486892971269E-2</v>
      </c>
      <c r="P9" s="369">
        <v>-2281.9899999999998</v>
      </c>
      <c r="Q9" s="430">
        <f t="shared" si="0"/>
        <v>-1.161386204927818E-2</v>
      </c>
    </row>
    <row r="10" spans="1:17" hidden="1" x14ac:dyDescent="0.25">
      <c r="B10" s="424"/>
      <c r="D10" s="441"/>
      <c r="G10" s="441"/>
      <c r="K10" s="423"/>
      <c r="P10" s="424"/>
      <c r="Q10" s="423"/>
    </row>
    <row r="11" spans="1:17" hidden="1" x14ac:dyDescent="0.25">
      <c r="B11" s="424" t="str">
        <f>'Fusion CFDT '!I5</f>
        <v>ARTT 1</v>
      </c>
      <c r="C11" s="21" t="str">
        <f>'Fusion CFDT '!F5</f>
        <v>ETAM</v>
      </c>
      <c r="D11" s="441" t="str">
        <f>'Fusion CFDT '!L5</f>
        <v>Strasbourg</v>
      </c>
      <c r="E11" s="368">
        <f>'Fusion CFDT '!D22*12</f>
        <v>0</v>
      </c>
      <c r="F11" s="368">
        <f>'Fusion CFDT '!E22*12</f>
        <v>-596.59331999999995</v>
      </c>
      <c r="G11" s="441"/>
      <c r="H11" s="196">
        <f>'Fusion CFDT '!C31</f>
        <v>0.02</v>
      </c>
      <c r="I11" s="368">
        <f>'Fusion CFDT '!D31*12</f>
        <v>48022.2</v>
      </c>
      <c r="J11" s="368">
        <f>'Fusion CFDT '!E31*12</f>
        <v>36318.863902500001</v>
      </c>
      <c r="K11" s="423"/>
      <c r="L11" s="196">
        <f>'Fusion CFDT '!C34</f>
        <v>3.2000000000000001E-2</v>
      </c>
      <c r="M11" s="368">
        <f>'Fusion CFDT '!D34*12</f>
        <v>0</v>
      </c>
      <c r="N11" s="368">
        <f>'Fusion CFDT '!E34*12</f>
        <v>-795.54827999999998</v>
      </c>
      <c r="P11" s="369">
        <f>'Fusion CFDT '!M35*12</f>
        <v>0</v>
      </c>
      <c r="Q11" s="423"/>
    </row>
    <row r="12" spans="1:17" x14ac:dyDescent="0.25">
      <c r="B12" s="424"/>
      <c r="D12" s="441"/>
      <c r="G12" s="441"/>
      <c r="I12" s="281"/>
      <c r="K12" s="423"/>
      <c r="P12" s="424"/>
      <c r="Q12" s="423"/>
    </row>
    <row r="13" spans="1:17" x14ac:dyDescent="0.25">
      <c r="A13" s="21">
        <v>1</v>
      </c>
      <c r="B13" s="424" t="s">
        <v>123</v>
      </c>
      <c r="C13" s="21" t="s">
        <v>6</v>
      </c>
      <c r="D13" s="423" t="s">
        <v>16</v>
      </c>
      <c r="E13" s="368">
        <v>35000</v>
      </c>
      <c r="F13" s="368">
        <v>26442.41</v>
      </c>
      <c r="G13" s="441"/>
      <c r="H13" s="196">
        <f>'Fusion CFDT '!C31</f>
        <v>0.02</v>
      </c>
      <c r="I13" s="368">
        <v>35700</v>
      </c>
      <c r="J13" s="368">
        <v>26868.15</v>
      </c>
      <c r="K13" s="438">
        <f>(J13-$F13)/$F13</f>
        <v>1.6100650432392571E-2</v>
      </c>
      <c r="L13" s="433">
        <v>0.02</v>
      </c>
      <c r="M13" s="368">
        <v>36414</v>
      </c>
      <c r="N13" s="368">
        <v>27421.49</v>
      </c>
      <c r="O13" s="420">
        <f>(N13-$F13)/$F13</f>
        <v>3.7026882194172231E-2</v>
      </c>
      <c r="P13" s="369">
        <f>-118.48*12</f>
        <v>-1421.76</v>
      </c>
      <c r="Q13" s="430">
        <f>(N13+P13-F13)/F13</f>
        <v>-1.6741287953707572E-2</v>
      </c>
    </row>
    <row r="14" spans="1:17" x14ac:dyDescent="0.25">
      <c r="A14" s="21">
        <f>A13+1</f>
        <v>2</v>
      </c>
      <c r="B14" s="424" t="s">
        <v>123</v>
      </c>
      <c r="C14" s="21" t="s">
        <v>6</v>
      </c>
      <c r="D14" s="423" t="s">
        <v>10</v>
      </c>
      <c r="E14" s="368">
        <v>35000</v>
      </c>
      <c r="F14" s="368">
        <v>25999.61</v>
      </c>
      <c r="G14" s="441"/>
      <c r="H14" s="196">
        <v>0.02</v>
      </c>
      <c r="I14" s="368">
        <v>35700</v>
      </c>
      <c r="J14" s="368">
        <v>26469.72</v>
      </c>
      <c r="K14" s="438">
        <f t="shared" ref="K14:K30" si="3">(J14-$F14)/$F14</f>
        <v>1.8081425067529883E-2</v>
      </c>
      <c r="L14" s="433">
        <v>2.7E-2</v>
      </c>
      <c r="M14" s="368">
        <v>36663.9</v>
      </c>
      <c r="N14" s="368">
        <v>27303.27</v>
      </c>
      <c r="O14" s="420">
        <f t="shared" ref="O14:O31" si="4">(N14-$F14)/$F14</f>
        <v>5.0141521353589527E-2</v>
      </c>
      <c r="P14" s="369">
        <v>-1419.31</v>
      </c>
      <c r="Q14" s="430">
        <f t="shared" ref="Q14:Q31" si="5">(N14+P14-F14)/F14</f>
        <v>-4.4481436452316571E-3</v>
      </c>
    </row>
    <row r="15" spans="1:17" x14ac:dyDescent="0.25">
      <c r="A15" s="21">
        <f t="shared" ref="A15:A31" si="6">A14+1</f>
        <v>3</v>
      </c>
      <c r="B15" s="424" t="s">
        <v>123</v>
      </c>
      <c r="C15" s="21" t="s">
        <v>6</v>
      </c>
      <c r="D15" s="423" t="s">
        <v>16</v>
      </c>
      <c r="E15" s="368">
        <v>42000</v>
      </c>
      <c r="F15" s="368">
        <v>31857.39</v>
      </c>
      <c r="G15" s="441"/>
      <c r="H15" s="196">
        <v>0.02</v>
      </c>
      <c r="I15" s="368">
        <v>42840</v>
      </c>
      <c r="J15" s="368">
        <v>32376.29</v>
      </c>
      <c r="K15" s="438">
        <f t="shared" si="3"/>
        <v>1.6288214445690671E-2</v>
      </c>
      <c r="L15" s="433">
        <v>0.02</v>
      </c>
      <c r="M15" s="368">
        <v>43696.800000000003</v>
      </c>
      <c r="N15" s="368">
        <v>33027.61</v>
      </c>
      <c r="O15" s="420">
        <f t="shared" si="4"/>
        <v>3.6733078259079011E-2</v>
      </c>
      <c r="P15" s="369">
        <v>-1647.12</v>
      </c>
      <c r="Q15" s="430">
        <f t="shared" si="5"/>
        <v>-1.4969839023221859E-2</v>
      </c>
    </row>
    <row r="16" spans="1:17" x14ac:dyDescent="0.25">
      <c r="A16" s="21">
        <f t="shared" si="6"/>
        <v>4</v>
      </c>
      <c r="B16" s="424" t="s">
        <v>123</v>
      </c>
      <c r="C16" s="21" t="s">
        <v>6</v>
      </c>
      <c r="D16" s="423" t="s">
        <v>10</v>
      </c>
      <c r="E16" s="368">
        <v>42000</v>
      </c>
      <c r="F16" s="368">
        <v>31309.59</v>
      </c>
      <c r="G16" s="441"/>
      <c r="H16" s="196">
        <v>0.02</v>
      </c>
      <c r="I16" s="368">
        <v>42840</v>
      </c>
      <c r="J16" s="368">
        <v>31870.76</v>
      </c>
      <c r="K16" s="438">
        <f t="shared" si="3"/>
        <v>1.7923262489224493E-2</v>
      </c>
      <c r="L16" s="433">
        <v>2.7E-2</v>
      </c>
      <c r="M16" s="368">
        <v>43996.68</v>
      </c>
      <c r="N16" s="368">
        <v>32732.69</v>
      </c>
      <c r="O16" s="420">
        <f t="shared" si="4"/>
        <v>4.545252748439052E-2</v>
      </c>
      <c r="P16" s="369">
        <v>-1637.52</v>
      </c>
      <c r="Q16" s="430">
        <f t="shared" si="5"/>
        <v>-6.8483809593163593E-3</v>
      </c>
    </row>
    <row r="17" spans="1:17" x14ac:dyDescent="0.25">
      <c r="A17" s="21">
        <f t="shared" si="6"/>
        <v>5</v>
      </c>
      <c r="B17" s="424" t="s">
        <v>124</v>
      </c>
      <c r="C17" s="21" t="s">
        <v>24</v>
      </c>
      <c r="D17" s="423" t="s">
        <v>16</v>
      </c>
      <c r="E17" s="368">
        <v>42000</v>
      </c>
      <c r="F17" s="368">
        <v>31857.39</v>
      </c>
      <c r="G17" s="441"/>
      <c r="H17" s="196">
        <v>0.05</v>
      </c>
      <c r="I17" s="368">
        <v>44100</v>
      </c>
      <c r="J17" s="368">
        <v>33334.11</v>
      </c>
      <c r="K17" s="438">
        <f t="shared" si="3"/>
        <v>4.6354079853999378E-2</v>
      </c>
      <c r="L17" s="433">
        <v>0.02</v>
      </c>
      <c r="M17" s="368">
        <v>44982</v>
      </c>
      <c r="N17" s="368">
        <v>34004.58</v>
      </c>
      <c r="O17" s="420">
        <f t="shared" si="4"/>
        <v>6.740006008025147E-2</v>
      </c>
      <c r="P17" s="369">
        <v>-1605.99</v>
      </c>
      <c r="Q17" s="430">
        <f t="shared" si="5"/>
        <v>1.6988209015239501E-2</v>
      </c>
    </row>
    <row r="18" spans="1:17" x14ac:dyDescent="0.25">
      <c r="A18" s="21">
        <f t="shared" si="6"/>
        <v>6</v>
      </c>
      <c r="B18" s="424" t="s">
        <v>124</v>
      </c>
      <c r="C18" s="21" t="s">
        <v>24</v>
      </c>
      <c r="D18" s="423" t="s">
        <v>10</v>
      </c>
      <c r="E18" s="368">
        <v>42000</v>
      </c>
      <c r="F18" s="368">
        <v>31309.59</v>
      </c>
      <c r="G18" s="441"/>
      <c r="H18" s="196">
        <v>0.05</v>
      </c>
      <c r="I18" s="368">
        <v>44100</v>
      </c>
      <c r="J18" s="368">
        <v>32809.68</v>
      </c>
      <c r="K18" s="438">
        <f t="shared" si="3"/>
        <v>4.7911518483633932E-2</v>
      </c>
      <c r="L18" s="433">
        <v>0.02</v>
      </c>
      <c r="M18" s="368">
        <v>44982</v>
      </c>
      <c r="N18" s="368">
        <v>33466.92</v>
      </c>
      <c r="O18" s="420">
        <f t="shared" si="4"/>
        <v>6.8903169923336532E-2</v>
      </c>
      <c r="P18" s="369">
        <v>-1605.99</v>
      </c>
      <c r="Q18" s="430">
        <f t="shared" si="5"/>
        <v>1.7609301175773827E-2</v>
      </c>
    </row>
    <row r="19" spans="1:17" x14ac:dyDescent="0.25">
      <c r="A19" s="21">
        <f t="shared" si="6"/>
        <v>7</v>
      </c>
      <c r="B19" s="424" t="s">
        <v>124</v>
      </c>
      <c r="C19" s="21" t="s">
        <v>24</v>
      </c>
      <c r="D19" s="423" t="s">
        <v>16</v>
      </c>
      <c r="E19" s="368">
        <v>42000</v>
      </c>
      <c r="F19" s="368"/>
      <c r="G19" s="441"/>
      <c r="H19" s="196"/>
      <c r="I19" s="368"/>
      <c r="J19" s="368"/>
      <c r="K19" s="438" t="e">
        <f t="shared" si="3"/>
        <v>#DIV/0!</v>
      </c>
      <c r="L19" s="433"/>
      <c r="M19" s="368"/>
      <c r="N19" s="368"/>
      <c r="O19" s="420" t="e">
        <f t="shared" si="4"/>
        <v>#DIV/0!</v>
      </c>
      <c r="P19" s="369"/>
      <c r="Q19" s="430" t="e">
        <f t="shared" si="5"/>
        <v>#DIV/0!</v>
      </c>
    </row>
    <row r="20" spans="1:17" x14ac:dyDescent="0.25">
      <c r="A20" s="21">
        <f t="shared" si="6"/>
        <v>8</v>
      </c>
      <c r="B20" s="424" t="s">
        <v>124</v>
      </c>
      <c r="C20" s="21" t="s">
        <v>24</v>
      </c>
      <c r="D20" s="423" t="s">
        <v>10</v>
      </c>
      <c r="E20" s="368">
        <v>42000</v>
      </c>
      <c r="F20" s="368"/>
      <c r="G20" s="441"/>
      <c r="H20" s="196"/>
      <c r="I20" s="368"/>
      <c r="J20" s="368"/>
      <c r="K20" s="438" t="e">
        <f t="shared" si="3"/>
        <v>#DIV/0!</v>
      </c>
      <c r="L20" s="433"/>
      <c r="M20" s="368"/>
      <c r="N20" s="368"/>
      <c r="O20" s="420" t="e">
        <f t="shared" si="4"/>
        <v>#DIV/0!</v>
      </c>
      <c r="P20" s="369"/>
      <c r="Q20" s="430" t="e">
        <f t="shared" si="5"/>
        <v>#DIV/0!</v>
      </c>
    </row>
    <row r="21" spans="1:17" x14ac:dyDescent="0.25">
      <c r="A21" s="21">
        <f t="shared" si="6"/>
        <v>9</v>
      </c>
      <c r="B21" s="424" t="s">
        <v>124</v>
      </c>
      <c r="C21" s="21" t="s">
        <v>24</v>
      </c>
      <c r="D21" s="423" t="s">
        <v>16</v>
      </c>
      <c r="E21" s="368">
        <v>50000</v>
      </c>
      <c r="F21" s="368">
        <v>38100.79</v>
      </c>
      <c r="G21" s="441"/>
      <c r="H21" s="196">
        <v>0.05</v>
      </c>
      <c r="I21" s="368">
        <v>52500</v>
      </c>
      <c r="J21" s="368">
        <v>39719.550000000003</v>
      </c>
      <c r="K21" s="438">
        <f t="shared" si="3"/>
        <v>4.2486258158951615E-2</v>
      </c>
      <c r="L21" s="433">
        <v>0.02</v>
      </c>
      <c r="M21" s="368">
        <v>53550</v>
      </c>
      <c r="N21" s="368">
        <v>40517.730000000003</v>
      </c>
      <c r="O21" s="420">
        <f t="shared" si="4"/>
        <v>6.3435430079008925E-2</v>
      </c>
      <c r="P21" s="369">
        <v>-1731.82</v>
      </c>
      <c r="Q21" s="430">
        <f t="shared" si="5"/>
        <v>1.7981779380427613E-2</v>
      </c>
    </row>
    <row r="22" spans="1:17" x14ac:dyDescent="0.25">
      <c r="A22" s="21">
        <f t="shared" si="6"/>
        <v>10</v>
      </c>
      <c r="B22" s="424" t="s">
        <v>124</v>
      </c>
      <c r="C22" s="21" t="s">
        <v>24</v>
      </c>
      <c r="D22" s="423" t="s">
        <v>10</v>
      </c>
      <c r="E22" s="368">
        <v>50000</v>
      </c>
      <c r="F22" s="368">
        <v>37432.99</v>
      </c>
      <c r="G22" s="441"/>
      <c r="H22" s="196">
        <v>0.05</v>
      </c>
      <c r="I22" s="368">
        <v>52500</v>
      </c>
      <c r="J22" s="368">
        <v>39069.120000000003</v>
      </c>
      <c r="K22" s="438">
        <f t="shared" si="3"/>
        <v>4.3708237039039755E-2</v>
      </c>
      <c r="L22" s="433">
        <v>0.02</v>
      </c>
      <c r="M22" s="368">
        <v>53550</v>
      </c>
      <c r="N22" s="368">
        <v>39851.550000000003</v>
      </c>
      <c r="O22" s="420">
        <f t="shared" si="4"/>
        <v>6.4610387788953144E-2</v>
      </c>
      <c r="P22" s="369">
        <v>-1731.82</v>
      </c>
      <c r="Q22" s="430">
        <f t="shared" si="5"/>
        <v>1.8345849476624904E-2</v>
      </c>
    </row>
    <row r="23" spans="1:17" x14ac:dyDescent="0.25">
      <c r="A23" s="21">
        <f t="shared" si="6"/>
        <v>11</v>
      </c>
      <c r="B23" s="424" t="s">
        <v>124</v>
      </c>
      <c r="C23" s="21" t="s">
        <v>24</v>
      </c>
      <c r="D23" s="423" t="s">
        <v>16</v>
      </c>
      <c r="E23" s="368">
        <v>50000</v>
      </c>
      <c r="F23" s="368"/>
      <c r="G23" s="441"/>
      <c r="H23" s="196"/>
      <c r="I23" s="368"/>
      <c r="J23" s="368"/>
      <c r="K23" s="438" t="e">
        <f t="shared" si="3"/>
        <v>#DIV/0!</v>
      </c>
      <c r="L23" s="433"/>
      <c r="M23" s="368"/>
      <c r="N23" s="368"/>
      <c r="O23" s="420" t="e">
        <f t="shared" si="4"/>
        <v>#DIV/0!</v>
      </c>
      <c r="P23" s="369"/>
      <c r="Q23" s="430" t="e">
        <f t="shared" si="5"/>
        <v>#DIV/0!</v>
      </c>
    </row>
    <row r="24" spans="1:17" x14ac:dyDescent="0.25">
      <c r="A24" s="21">
        <f t="shared" si="6"/>
        <v>12</v>
      </c>
      <c r="B24" s="424" t="s">
        <v>124</v>
      </c>
      <c r="C24" s="21" t="s">
        <v>24</v>
      </c>
      <c r="D24" s="423" t="s">
        <v>10</v>
      </c>
      <c r="E24" s="368">
        <v>50000</v>
      </c>
      <c r="F24" s="368"/>
      <c r="G24" s="441"/>
      <c r="H24" s="196"/>
      <c r="I24" s="368"/>
      <c r="J24" s="368"/>
      <c r="K24" s="438" t="e">
        <f t="shared" si="3"/>
        <v>#DIV/0!</v>
      </c>
      <c r="L24" s="433"/>
      <c r="M24" s="368"/>
      <c r="N24" s="368"/>
      <c r="O24" s="420" t="e">
        <f t="shared" si="4"/>
        <v>#DIV/0!</v>
      </c>
      <c r="P24" s="369"/>
      <c r="Q24" s="430" t="e">
        <f t="shared" si="5"/>
        <v>#DIV/0!</v>
      </c>
    </row>
    <row r="25" spans="1:17" x14ac:dyDescent="0.25">
      <c r="A25" s="21">
        <f t="shared" si="6"/>
        <v>13</v>
      </c>
      <c r="B25" s="424" t="s">
        <v>124</v>
      </c>
      <c r="C25" s="21" t="s">
        <v>24</v>
      </c>
      <c r="D25" s="423" t="s">
        <v>16</v>
      </c>
      <c r="E25" s="368">
        <v>60000</v>
      </c>
      <c r="F25" s="368">
        <v>45905.05</v>
      </c>
      <c r="G25" s="441"/>
      <c r="H25" s="196">
        <v>0.05</v>
      </c>
      <c r="I25" s="368">
        <v>63000</v>
      </c>
      <c r="J25" s="368">
        <v>47701.35</v>
      </c>
      <c r="K25" s="438">
        <f t="shared" si="3"/>
        <v>3.9130771015389275E-2</v>
      </c>
      <c r="L25" s="433">
        <v>0.02</v>
      </c>
      <c r="M25" s="368">
        <v>64260</v>
      </c>
      <c r="N25" s="368">
        <v>48659.17</v>
      </c>
      <c r="O25" s="420">
        <f t="shared" si="4"/>
        <v>5.9996013510496014E-2</v>
      </c>
      <c r="P25" s="369">
        <v>-1880.1</v>
      </c>
      <c r="Q25" s="430">
        <f t="shared" si="5"/>
        <v>1.9039735279669595E-2</v>
      </c>
    </row>
    <row r="26" spans="1:17" x14ac:dyDescent="0.25">
      <c r="A26" s="21">
        <f t="shared" si="6"/>
        <v>14</v>
      </c>
      <c r="B26" s="424" t="s">
        <v>124</v>
      </c>
      <c r="C26" s="21" t="s">
        <v>24</v>
      </c>
      <c r="D26" s="423" t="s">
        <v>10</v>
      </c>
      <c r="E26" s="368">
        <v>60000</v>
      </c>
      <c r="F26" s="368">
        <v>45087.25</v>
      </c>
      <c r="G26" s="441"/>
      <c r="H26" s="196">
        <v>0.05</v>
      </c>
      <c r="I26" s="368">
        <v>63000</v>
      </c>
      <c r="J26" s="368">
        <v>46893.42</v>
      </c>
      <c r="K26" s="438">
        <f t="shared" si="3"/>
        <v>4.0059440307403937E-2</v>
      </c>
      <c r="L26" s="433">
        <v>0.02</v>
      </c>
      <c r="M26" s="368">
        <v>64260</v>
      </c>
      <c r="N26" s="368">
        <v>47832.34</v>
      </c>
      <c r="O26" s="420">
        <f t="shared" si="4"/>
        <v>6.0883952780442285E-2</v>
      </c>
      <c r="P26" s="369">
        <v>-1889.1</v>
      </c>
      <c r="Q26" s="430">
        <f t="shared" si="5"/>
        <v>1.8985189826392117E-2</v>
      </c>
    </row>
    <row r="27" spans="1:17" x14ac:dyDescent="0.25">
      <c r="A27" s="21">
        <f t="shared" si="6"/>
        <v>15</v>
      </c>
      <c r="B27" s="424" t="s">
        <v>124</v>
      </c>
      <c r="C27" s="21" t="s">
        <v>24</v>
      </c>
      <c r="D27" s="423" t="s">
        <v>16</v>
      </c>
      <c r="E27" s="368">
        <v>60000</v>
      </c>
      <c r="F27" s="368"/>
      <c r="G27" s="441"/>
      <c r="H27" s="196"/>
      <c r="I27" s="368"/>
      <c r="J27" s="368"/>
      <c r="K27" s="438" t="e">
        <f t="shared" si="3"/>
        <v>#DIV/0!</v>
      </c>
      <c r="L27" s="433"/>
      <c r="M27" s="368"/>
      <c r="N27" s="368"/>
      <c r="O27" s="420" t="e">
        <f t="shared" si="4"/>
        <v>#DIV/0!</v>
      </c>
      <c r="P27" s="369"/>
      <c r="Q27" s="430" t="e">
        <f t="shared" si="5"/>
        <v>#DIV/0!</v>
      </c>
    </row>
    <row r="28" spans="1:17" x14ac:dyDescent="0.25">
      <c r="A28" s="21">
        <f t="shared" si="6"/>
        <v>16</v>
      </c>
      <c r="B28" s="424" t="s">
        <v>124</v>
      </c>
      <c r="C28" s="21" t="s">
        <v>24</v>
      </c>
      <c r="D28" s="423" t="s">
        <v>10</v>
      </c>
      <c r="E28" s="368">
        <v>60000</v>
      </c>
      <c r="F28" s="368"/>
      <c r="G28" s="441"/>
      <c r="H28" s="196"/>
      <c r="I28" s="368"/>
      <c r="J28" s="368"/>
      <c r="K28" s="438" t="e">
        <f t="shared" si="3"/>
        <v>#DIV/0!</v>
      </c>
      <c r="L28" s="433"/>
      <c r="M28" s="368"/>
      <c r="N28" s="368"/>
      <c r="O28" s="420" t="e">
        <f t="shared" si="4"/>
        <v>#DIV/0!</v>
      </c>
      <c r="P28" s="369"/>
      <c r="Q28" s="430" t="e">
        <f t="shared" si="5"/>
        <v>#DIV/0!</v>
      </c>
    </row>
    <row r="29" spans="1:17" x14ac:dyDescent="0.25">
      <c r="A29" s="21">
        <f t="shared" si="6"/>
        <v>17</v>
      </c>
      <c r="B29" s="424" t="s">
        <v>123</v>
      </c>
      <c r="C29" s="21" t="s">
        <v>24</v>
      </c>
      <c r="D29" s="423" t="s">
        <v>16</v>
      </c>
      <c r="E29" s="368">
        <v>60000</v>
      </c>
      <c r="F29" s="368">
        <v>45905.05</v>
      </c>
      <c r="G29" s="441"/>
      <c r="H29" s="196">
        <v>0.02</v>
      </c>
      <c r="I29" s="368">
        <v>61200</v>
      </c>
      <c r="J29" s="368">
        <v>46333.04</v>
      </c>
      <c r="K29" s="438">
        <f t="shared" si="3"/>
        <v>9.3233750970753305E-3</v>
      </c>
      <c r="L29" s="433">
        <v>0.02</v>
      </c>
      <c r="M29" s="368">
        <v>62424</v>
      </c>
      <c r="N29" s="368">
        <v>47262.49</v>
      </c>
      <c r="O29" s="420">
        <f t="shared" si="4"/>
        <v>2.9570602798602658E-2</v>
      </c>
      <c r="P29" s="369">
        <v>-1947.85</v>
      </c>
      <c r="Q29" s="430">
        <f t="shared" si="5"/>
        <v>-1.286154791248465E-2</v>
      </c>
    </row>
    <row r="30" spans="1:17" x14ac:dyDescent="0.25">
      <c r="A30" s="21">
        <f t="shared" si="6"/>
        <v>18</v>
      </c>
      <c r="B30" s="424" t="s">
        <v>125</v>
      </c>
      <c r="C30" s="21" t="s">
        <v>24</v>
      </c>
      <c r="D30" s="423" t="s">
        <v>16</v>
      </c>
      <c r="E30" s="368">
        <v>80000</v>
      </c>
      <c r="F30" s="368">
        <v>61513.56</v>
      </c>
      <c r="G30" s="441"/>
      <c r="H30" s="196">
        <v>0.02</v>
      </c>
      <c r="I30" s="368">
        <v>81600</v>
      </c>
      <c r="J30" s="368">
        <v>61840.54</v>
      </c>
      <c r="K30" s="438">
        <f t="shared" si="3"/>
        <v>5.3155759478073321E-3</v>
      </c>
      <c r="L30" s="433">
        <v>0.02</v>
      </c>
      <c r="M30" s="368">
        <v>83232</v>
      </c>
      <c r="N30" s="368">
        <v>63081.14</v>
      </c>
      <c r="O30" s="420">
        <f t="shared" si="4"/>
        <v>2.5483486892971269E-2</v>
      </c>
      <c r="P30" s="369">
        <v>-2281.9899999999998</v>
      </c>
      <c r="Q30" s="430">
        <f t="shared" si="5"/>
        <v>-1.161386204927818E-2</v>
      </c>
    </row>
    <row r="31" spans="1:17" x14ac:dyDescent="0.25">
      <c r="A31" s="21">
        <f t="shared" si="6"/>
        <v>19</v>
      </c>
      <c r="B31" s="426" t="s">
        <v>125</v>
      </c>
      <c r="C31" s="443" t="s">
        <v>24</v>
      </c>
      <c r="D31" s="428" t="s">
        <v>10</v>
      </c>
      <c r="E31" s="370">
        <v>80000</v>
      </c>
      <c r="F31" s="370">
        <v>60395.76</v>
      </c>
      <c r="G31" s="442"/>
      <c r="H31" s="445">
        <v>0.02</v>
      </c>
      <c r="I31" s="427">
        <v>81600</v>
      </c>
      <c r="J31" s="370">
        <v>60753.61</v>
      </c>
      <c r="K31" s="439">
        <f>(J31-$F31)/$F31</f>
        <v>5.9250848072778372E-3</v>
      </c>
      <c r="L31" s="437">
        <v>0.02</v>
      </c>
      <c r="M31" s="370">
        <v>83232</v>
      </c>
      <c r="N31" s="370">
        <v>61969.73</v>
      </c>
      <c r="O31" s="420">
        <f t="shared" si="4"/>
        <v>2.6060935403412443E-2</v>
      </c>
      <c r="P31" s="371">
        <v>-2281.9899999999998</v>
      </c>
      <c r="Q31" s="431">
        <f t="shared" si="5"/>
        <v>-1.1723008370123942E-2</v>
      </c>
    </row>
    <row r="32" spans="1:17" x14ac:dyDescent="0.25">
      <c r="D32"/>
    </row>
    <row r="33" spans="1:17" ht="18.75" x14ac:dyDescent="0.3">
      <c r="I33" s="689" t="s">
        <v>108</v>
      </c>
      <c r="J33" s="690"/>
      <c r="K33" s="690"/>
      <c r="L33" s="691"/>
      <c r="M33" s="691"/>
      <c r="N33" s="691"/>
      <c r="O33" s="692"/>
      <c r="P33" s="685" t="s">
        <v>35</v>
      </c>
      <c r="Q33" s="686"/>
    </row>
    <row r="34" spans="1:17" x14ac:dyDescent="0.25">
      <c r="I34" s="702" t="s">
        <v>126</v>
      </c>
      <c r="J34" s="703"/>
      <c r="K34" s="704"/>
      <c r="L34" s="693" t="s">
        <v>127</v>
      </c>
      <c r="M34" s="694"/>
      <c r="N34" s="694"/>
      <c r="O34" s="695"/>
      <c r="P34" s="687"/>
      <c r="Q34" s="688"/>
    </row>
    <row r="35" spans="1:17" ht="18.75" x14ac:dyDescent="0.3">
      <c r="I35" s="446" t="s">
        <v>61</v>
      </c>
      <c r="J35" s="444" t="s">
        <v>62</v>
      </c>
      <c r="K35" s="429" t="s">
        <v>128</v>
      </c>
      <c r="L35" s="421" t="s">
        <v>129</v>
      </c>
      <c r="M35" s="419" t="s">
        <v>61</v>
      </c>
      <c r="N35" s="419" t="s">
        <v>62</v>
      </c>
      <c r="O35" s="429" t="s">
        <v>130</v>
      </c>
      <c r="P35" s="435" t="s">
        <v>117</v>
      </c>
      <c r="Q35" s="434" t="s">
        <v>118</v>
      </c>
    </row>
    <row r="36" spans="1:17" x14ac:dyDescent="0.25">
      <c r="B36" t="str">
        <f>B5</f>
        <v>Modalité 1</v>
      </c>
      <c r="C36" s="21" t="str">
        <f>C5</f>
        <v>ETAM</v>
      </c>
      <c r="D36" s="21" t="str">
        <f>D5</f>
        <v>Paris</v>
      </c>
      <c r="E36" s="281">
        <f>E5</f>
        <v>31000</v>
      </c>
      <c r="F36" s="281">
        <f>F5</f>
        <v>23352</v>
      </c>
      <c r="I36" s="369">
        <f>E5</f>
        <v>31000</v>
      </c>
      <c r="J36" s="368">
        <v>23276.61</v>
      </c>
      <c r="K36" s="430">
        <f>(J36-F5)/F5</f>
        <v>-3.2284172661870255E-3</v>
      </c>
      <c r="L36" s="422">
        <v>0.03</v>
      </c>
      <c r="M36" s="368">
        <v>32568.6</v>
      </c>
      <c r="N36" s="368">
        <v>24441.37</v>
      </c>
      <c r="O36" s="430">
        <f t="shared" ref="O36:O40" si="7">(N36-F5)/F5</f>
        <v>4.664996574169232E-2</v>
      </c>
      <c r="P36" s="369">
        <v>-1256.17</v>
      </c>
      <c r="Q36" s="430">
        <f t="shared" ref="Q36:Q40" si="8">(N36+P36-F36)/F36</f>
        <v>-7.1428571428572675E-3</v>
      </c>
    </row>
    <row r="37" spans="1:17" x14ac:dyDescent="0.25">
      <c r="B37" t="str">
        <f t="shared" ref="B37:F37" si="9">B6</f>
        <v>Modalité 1</v>
      </c>
      <c r="C37" s="21" t="str">
        <f t="shared" si="9"/>
        <v>Cadre</v>
      </c>
      <c r="D37" s="21" t="str">
        <f t="shared" si="9"/>
        <v>Paris</v>
      </c>
      <c r="E37" s="281">
        <f t="shared" si="9"/>
        <v>60000</v>
      </c>
      <c r="F37" s="281">
        <f t="shared" si="9"/>
        <v>45905.05</v>
      </c>
      <c r="I37" s="369">
        <f>E6</f>
        <v>60000</v>
      </c>
      <c r="J37" s="368">
        <v>45420.84</v>
      </c>
      <c r="K37" s="430">
        <f>(J37-F6)/F6</f>
        <v>-1.054807695449643E-2</v>
      </c>
      <c r="L37" s="422">
        <v>0.03</v>
      </c>
      <c r="M37" s="368">
        <v>61219.199999999997</v>
      </c>
      <c r="N37" s="368">
        <v>46347.64</v>
      </c>
      <c r="O37" s="430">
        <f t="shared" si="7"/>
        <v>9.6414228935595651E-3</v>
      </c>
      <c r="P37" s="369">
        <v>-1986.4</v>
      </c>
      <c r="Q37" s="430">
        <f t="shared" si="8"/>
        <v>-3.3630504704820166E-2</v>
      </c>
    </row>
    <row r="38" spans="1:17" x14ac:dyDescent="0.25">
      <c r="B38" t="str">
        <f t="shared" ref="B38:F38" si="10">B7</f>
        <v>Modalité 2</v>
      </c>
      <c r="C38" s="21" t="str">
        <f t="shared" si="10"/>
        <v>Cadre</v>
      </c>
      <c r="D38" s="21" t="str">
        <f t="shared" si="10"/>
        <v>Paris</v>
      </c>
      <c r="E38" s="281">
        <f t="shared" si="10"/>
        <v>41000</v>
      </c>
      <c r="F38" s="281">
        <f t="shared" si="10"/>
        <v>31078.03</v>
      </c>
      <c r="I38" s="369">
        <f>E7</f>
        <v>41000</v>
      </c>
      <c r="J38" s="368">
        <v>30975.56</v>
      </c>
      <c r="K38" s="430">
        <f>(J38-F7)/F7</f>
        <v>-3.2971845384021296E-3</v>
      </c>
      <c r="L38" s="422">
        <v>0.03</v>
      </c>
      <c r="M38" s="368">
        <v>44341.5</v>
      </c>
      <c r="N38" s="368">
        <v>33517.69</v>
      </c>
      <c r="O38" s="430">
        <f t="shared" si="7"/>
        <v>7.8501114774649605E-2</v>
      </c>
      <c r="P38" s="369">
        <v>-1576.49</v>
      </c>
      <c r="Q38" s="430">
        <f t="shared" si="8"/>
        <v>2.7774282990266821E-2</v>
      </c>
    </row>
    <row r="39" spans="1:17" x14ac:dyDescent="0.25">
      <c r="B39" t="str">
        <f t="shared" ref="B39:F39" si="11">B8</f>
        <v>Modalité 2</v>
      </c>
      <c r="C39" s="21" t="str">
        <f t="shared" si="11"/>
        <v>Cadre</v>
      </c>
      <c r="D39" s="21" t="str">
        <f t="shared" si="11"/>
        <v>Paris</v>
      </c>
      <c r="E39" s="281">
        <f t="shared" si="11"/>
        <v>62000</v>
      </c>
      <c r="F39" s="281">
        <f t="shared" si="11"/>
        <v>47465.9</v>
      </c>
      <c r="I39" s="369">
        <f>E8</f>
        <v>62000</v>
      </c>
      <c r="J39" s="368">
        <v>46941.18</v>
      </c>
      <c r="K39" s="430">
        <f>(J39-F8)/F8</f>
        <v>-1.1054672933621845E-2</v>
      </c>
      <c r="L39" s="422">
        <v>0.03</v>
      </c>
      <c r="M39" s="368">
        <v>67053</v>
      </c>
      <c r="N39" s="368">
        <v>50782.33</v>
      </c>
      <c r="O39" s="430">
        <f t="shared" si="7"/>
        <v>6.9869738064589529E-2</v>
      </c>
      <c r="P39" s="369">
        <v>-1899.72</v>
      </c>
      <c r="Q39" s="430">
        <f t="shared" si="8"/>
        <v>2.9846900617074554E-2</v>
      </c>
    </row>
    <row r="40" spans="1:17" x14ac:dyDescent="0.25">
      <c r="B40" t="str">
        <f t="shared" ref="B40:F40" si="12">B9</f>
        <v>Modalité 3</v>
      </c>
      <c r="C40" s="21" t="str">
        <f t="shared" si="12"/>
        <v>Cadre</v>
      </c>
      <c r="D40" s="21" t="str">
        <f t="shared" si="12"/>
        <v>Paris</v>
      </c>
      <c r="E40" s="281">
        <f t="shared" si="12"/>
        <v>80000</v>
      </c>
      <c r="F40" s="281">
        <f t="shared" si="12"/>
        <v>61513.56</v>
      </c>
      <c r="I40" s="369">
        <f>E9</f>
        <v>80000</v>
      </c>
      <c r="J40" s="368">
        <v>60624.27</v>
      </c>
      <c r="K40" s="430">
        <f>(J40-F9)/F9</f>
        <v>-1.4456812449157566E-2</v>
      </c>
      <c r="L40" s="422">
        <v>0.03</v>
      </c>
      <c r="M40" s="368">
        <v>81619.199999999997</v>
      </c>
      <c r="N40" s="368">
        <v>61855.14</v>
      </c>
      <c r="O40" s="430">
        <f t="shared" si="7"/>
        <v>5.552921989883235E-3</v>
      </c>
      <c r="P40" s="369">
        <v>2333.6</v>
      </c>
      <c r="Q40" s="430">
        <f t="shared" si="8"/>
        <v>4.3489272934292868E-2</v>
      </c>
    </row>
    <row r="41" spans="1:17" hidden="1" x14ac:dyDescent="0.25">
      <c r="I41" s="424"/>
      <c r="K41" s="423"/>
      <c r="L41" s="424"/>
      <c r="O41" s="423"/>
      <c r="P41" s="424"/>
      <c r="Q41" s="423"/>
    </row>
    <row r="42" spans="1:17" hidden="1" x14ac:dyDescent="0.25">
      <c r="I42" s="369">
        <f>'Fusion CFDT '!D23*12</f>
        <v>22.2</v>
      </c>
      <c r="J42" s="368">
        <f>'Fusion CFDT '!E23*12</f>
        <v>-778.30723941000008</v>
      </c>
      <c r="K42" s="423"/>
      <c r="L42" s="425">
        <f>'Fusion CFDT '!C39</f>
        <v>3.6999999999999998E-2</v>
      </c>
      <c r="M42" s="368">
        <f>'Fusion CFDT '!D39*12</f>
        <v>22.2</v>
      </c>
      <c r="N42" s="368">
        <f>'Fusion CFDT '!E39*12</f>
        <v>-778.31256741000016</v>
      </c>
      <c r="O42" s="423"/>
      <c r="P42" s="369">
        <f>'Fusion CFDT '!M40*12</f>
        <v>0.19979999999999998</v>
      </c>
      <c r="Q42" s="423"/>
    </row>
    <row r="43" spans="1:17" x14ac:dyDescent="0.25">
      <c r="I43" s="424"/>
      <c r="K43" s="423"/>
      <c r="L43" s="424"/>
      <c r="O43" s="423"/>
      <c r="P43" s="424"/>
      <c r="Q43" s="423"/>
    </row>
    <row r="44" spans="1:17" x14ac:dyDescent="0.25">
      <c r="A44" s="21">
        <v>1</v>
      </c>
      <c r="B44" t="str">
        <f t="shared" ref="B44:F48" si="13">B13</f>
        <v>ARTT1</v>
      </c>
      <c r="C44" s="21" t="str">
        <f t="shared" si="13"/>
        <v>ETAM</v>
      </c>
      <c r="D44" s="21" t="str">
        <f t="shared" si="13"/>
        <v>Paris</v>
      </c>
      <c r="E44" s="281">
        <f t="shared" si="13"/>
        <v>35000</v>
      </c>
      <c r="F44" s="281">
        <f t="shared" si="13"/>
        <v>26442.41</v>
      </c>
      <c r="I44" s="369">
        <v>35000</v>
      </c>
      <c r="J44" s="368">
        <v>26383.1</v>
      </c>
      <c r="K44" s="430">
        <f t="shared" ref="K44:K62" si="14">(J44-F13)/F13</f>
        <v>-2.2429876853131505E-3</v>
      </c>
      <c r="L44" s="425">
        <v>0.03</v>
      </c>
      <c r="M44" s="368">
        <v>36771</v>
      </c>
      <c r="N44" s="368">
        <v>27698.16</v>
      </c>
      <c r="O44" s="430">
        <f t="shared" ref="O44:O62" si="15">(N44-F13)/F13</f>
        <v>4.7489998075061997E-2</v>
      </c>
      <c r="P44" s="369">
        <v>-1418.35</v>
      </c>
      <c r="Q44" s="430">
        <f t="shared" ref="Q44:Q49" si="16">(N44+P44-F44)/F44</f>
        <v>-6.149212571773849E-3</v>
      </c>
    </row>
    <row r="45" spans="1:17" x14ac:dyDescent="0.25">
      <c r="A45" s="21">
        <f>A44+1</f>
        <v>2</v>
      </c>
      <c r="B45" t="str">
        <f t="shared" si="13"/>
        <v>ARTT1</v>
      </c>
      <c r="C45" s="21" t="str">
        <f t="shared" si="13"/>
        <v>ETAM</v>
      </c>
      <c r="D45" s="21" t="str">
        <f t="shared" si="13"/>
        <v>Strasbourg</v>
      </c>
      <c r="E45" s="281">
        <f t="shared" si="13"/>
        <v>35000</v>
      </c>
      <c r="F45" s="281">
        <f t="shared" si="13"/>
        <v>25999.61</v>
      </c>
      <c r="I45" s="369">
        <v>35000</v>
      </c>
      <c r="J45" s="368">
        <v>25995.17</v>
      </c>
      <c r="K45" s="430">
        <f t="shared" si="14"/>
        <v>-1.707717923462055E-4</v>
      </c>
      <c r="L45" s="425">
        <v>3.6999999999999998E-2</v>
      </c>
      <c r="M45" s="368">
        <v>37020.9</v>
      </c>
      <c r="N45" s="368">
        <v>27473.58</v>
      </c>
      <c r="O45" s="430">
        <f t="shared" si="15"/>
        <v>5.6692004226217285E-2</v>
      </c>
      <c r="P45" s="369">
        <v>-1416.1</v>
      </c>
      <c r="Q45" s="430">
        <f t="shared" si="16"/>
        <v>2.2258026178085988E-3</v>
      </c>
    </row>
    <row r="46" spans="1:17" x14ac:dyDescent="0.25">
      <c r="A46" s="21">
        <f t="shared" ref="A46:A62" si="17">A45+1</f>
        <v>3</v>
      </c>
      <c r="B46" t="str">
        <f t="shared" si="13"/>
        <v>ARTT1</v>
      </c>
      <c r="C46" s="21" t="str">
        <f t="shared" si="13"/>
        <v>ETAM</v>
      </c>
      <c r="D46" s="21" t="str">
        <f t="shared" si="13"/>
        <v>Paris</v>
      </c>
      <c r="E46" s="281">
        <f t="shared" si="13"/>
        <v>42000</v>
      </c>
      <c r="F46" s="281">
        <f t="shared" si="13"/>
        <v>31857.39</v>
      </c>
      <c r="I46" s="369">
        <v>42000</v>
      </c>
      <c r="J46" s="368">
        <v>31806.67</v>
      </c>
      <c r="K46" s="430">
        <f t="shared" si="14"/>
        <v>-1.5920952720860425E-3</v>
      </c>
      <c r="L46" s="425">
        <v>0.03</v>
      </c>
      <c r="M46" s="368">
        <v>44125.2</v>
      </c>
      <c r="N46" s="368">
        <v>33353.269999999997</v>
      </c>
      <c r="O46" s="430">
        <f t="shared" si="15"/>
        <v>4.6955510165773075E-2</v>
      </c>
      <c r="P46" s="369">
        <v>-1633.41</v>
      </c>
      <c r="Q46" s="430">
        <f t="shared" si="16"/>
        <v>-4.317051710764833E-3</v>
      </c>
    </row>
    <row r="47" spans="1:17" x14ac:dyDescent="0.25">
      <c r="A47" s="21">
        <f t="shared" si="17"/>
        <v>4</v>
      </c>
      <c r="B47" t="str">
        <f t="shared" si="13"/>
        <v>ARTT1</v>
      </c>
      <c r="C47" s="21" t="str">
        <f t="shared" si="13"/>
        <v>ETAM</v>
      </c>
      <c r="D47" s="21" t="str">
        <f t="shared" si="13"/>
        <v>Strasbourg</v>
      </c>
      <c r="E47" s="281">
        <f t="shared" si="13"/>
        <v>42000</v>
      </c>
      <c r="F47" s="281">
        <f t="shared" si="13"/>
        <v>31309.59</v>
      </c>
      <c r="I47" s="369">
        <v>42000</v>
      </c>
      <c r="J47" s="368">
        <v>31313.73</v>
      </c>
      <c r="K47" s="430">
        <f t="shared" si="14"/>
        <v>1.3222785734337046E-4</v>
      </c>
      <c r="L47" s="425">
        <v>3.6999999999999998E-2</v>
      </c>
      <c r="M47" s="368">
        <v>44425.08</v>
      </c>
      <c r="N47" s="368">
        <v>33051.919999999998</v>
      </c>
      <c r="O47" s="430">
        <f t="shared" si="15"/>
        <v>5.5648445093020957E-2</v>
      </c>
      <c r="P47" s="369">
        <v>-1623.82</v>
      </c>
      <c r="Q47" s="430">
        <f t="shared" si="16"/>
        <v>3.7851022641944019E-3</v>
      </c>
    </row>
    <row r="48" spans="1:17" x14ac:dyDescent="0.25">
      <c r="A48" s="21">
        <f t="shared" si="17"/>
        <v>5</v>
      </c>
      <c r="B48" t="str">
        <f t="shared" si="13"/>
        <v>ARTT2</v>
      </c>
      <c r="C48" s="21" t="str">
        <f t="shared" si="13"/>
        <v>CADRE</v>
      </c>
      <c r="D48" s="21" t="str">
        <f t="shared" si="13"/>
        <v>Paris</v>
      </c>
      <c r="E48" s="281">
        <f t="shared" si="13"/>
        <v>42000</v>
      </c>
      <c r="F48" s="281">
        <f t="shared" si="13"/>
        <v>31857.39</v>
      </c>
      <c r="I48" s="369">
        <v>42000</v>
      </c>
      <c r="J48" s="368">
        <v>31737.75</v>
      </c>
      <c r="K48" s="430">
        <f t="shared" si="14"/>
        <v>-3.7554865605750947E-3</v>
      </c>
      <c r="L48" s="425">
        <v>0.03</v>
      </c>
      <c r="M48" s="368">
        <v>45423</v>
      </c>
      <c r="N48" s="368">
        <v>34339.82</v>
      </c>
      <c r="O48" s="430">
        <f t="shared" si="15"/>
        <v>7.792320714283249E-2</v>
      </c>
      <c r="P48" s="369">
        <v>-1591.88</v>
      </c>
      <c r="Q48" s="430">
        <f t="shared" si="16"/>
        <v>2.7954267439987999E-2</v>
      </c>
    </row>
    <row r="49" spans="1:17" x14ac:dyDescent="0.25">
      <c r="A49" s="21">
        <f t="shared" si="17"/>
        <v>6</v>
      </c>
      <c r="B49" t="str">
        <f t="shared" ref="B49:F49" si="18">B18</f>
        <v>ARTT2</v>
      </c>
      <c r="C49" s="21" t="str">
        <f t="shared" si="18"/>
        <v>CADRE</v>
      </c>
      <c r="D49" s="21" t="str">
        <f t="shared" si="18"/>
        <v>Strasbourg</v>
      </c>
      <c r="E49" s="281">
        <f t="shared" si="18"/>
        <v>42000</v>
      </c>
      <c r="F49" s="281">
        <f t="shared" si="18"/>
        <v>31309.59</v>
      </c>
      <c r="I49" s="369">
        <v>42000</v>
      </c>
      <c r="J49" s="368">
        <v>31244.82</v>
      </c>
      <c r="K49" s="430">
        <f t="shared" si="14"/>
        <v>-2.0686952464085426E-3</v>
      </c>
      <c r="L49" s="425">
        <v>0.03</v>
      </c>
      <c r="M49" s="368">
        <v>45423</v>
      </c>
      <c r="N49" s="368">
        <v>33795.54</v>
      </c>
      <c r="O49" s="430">
        <f t="shared" si="15"/>
        <v>7.9398995643187947E-2</v>
      </c>
      <c r="P49" s="369">
        <v>-1591.88</v>
      </c>
      <c r="Q49" s="430">
        <f t="shared" si="16"/>
        <v>2.8555787539855989E-2</v>
      </c>
    </row>
    <row r="50" spans="1:17" x14ac:dyDescent="0.25">
      <c r="A50" s="21">
        <f t="shared" si="17"/>
        <v>7</v>
      </c>
      <c r="B50" t="str">
        <f t="shared" ref="B50:F50" si="19">B19</f>
        <v>ARTT2</v>
      </c>
      <c r="C50" s="21" t="str">
        <f t="shared" si="19"/>
        <v>CADRE</v>
      </c>
      <c r="D50" s="21" t="str">
        <f t="shared" si="19"/>
        <v>Paris</v>
      </c>
      <c r="E50" s="281">
        <f t="shared" si="19"/>
        <v>42000</v>
      </c>
      <c r="F50" s="281">
        <f t="shared" si="19"/>
        <v>0</v>
      </c>
      <c r="I50" s="369"/>
      <c r="J50" s="368"/>
      <c r="K50" s="430" t="e">
        <f t="shared" si="14"/>
        <v>#DIV/0!</v>
      </c>
      <c r="L50" s="425"/>
      <c r="M50" s="368"/>
      <c r="N50" s="368"/>
      <c r="O50" s="430" t="e">
        <f t="shared" si="15"/>
        <v>#DIV/0!</v>
      </c>
      <c r="P50" s="369"/>
      <c r="Q50" s="430" t="e">
        <f>(N50+P50-O19)/O19</f>
        <v>#DIV/0!</v>
      </c>
    </row>
    <row r="51" spans="1:17" x14ac:dyDescent="0.25">
      <c r="A51" s="21">
        <f t="shared" si="17"/>
        <v>8</v>
      </c>
      <c r="B51" t="str">
        <f t="shared" ref="B51:F51" si="20">B20</f>
        <v>ARTT2</v>
      </c>
      <c r="C51" s="21" t="str">
        <f t="shared" si="20"/>
        <v>CADRE</v>
      </c>
      <c r="D51" s="21" t="str">
        <f t="shared" si="20"/>
        <v>Strasbourg</v>
      </c>
      <c r="E51" s="281">
        <f t="shared" si="20"/>
        <v>42000</v>
      </c>
      <c r="F51" s="281">
        <f t="shared" si="20"/>
        <v>0</v>
      </c>
      <c r="I51" s="369"/>
      <c r="J51" s="368"/>
      <c r="K51" s="430" t="e">
        <f t="shared" si="14"/>
        <v>#DIV/0!</v>
      </c>
      <c r="L51" s="425"/>
      <c r="M51" s="368"/>
      <c r="N51" s="368"/>
      <c r="O51" s="430" t="e">
        <f t="shared" si="15"/>
        <v>#DIV/0!</v>
      </c>
      <c r="P51" s="369"/>
      <c r="Q51" s="430" t="e">
        <f>(N51+P51-O20)/O20</f>
        <v>#DIV/0!</v>
      </c>
    </row>
    <row r="52" spans="1:17" x14ac:dyDescent="0.25">
      <c r="A52" s="21">
        <f t="shared" si="17"/>
        <v>9</v>
      </c>
      <c r="B52" t="str">
        <f t="shared" ref="B52:F52" si="21">B21</f>
        <v>ARTT2</v>
      </c>
      <c r="C52" s="21" t="str">
        <f t="shared" si="21"/>
        <v>CADRE</v>
      </c>
      <c r="D52" s="21" t="str">
        <f t="shared" si="21"/>
        <v>Paris</v>
      </c>
      <c r="E52" s="281">
        <f t="shared" si="21"/>
        <v>50000</v>
      </c>
      <c r="F52" s="281">
        <f t="shared" si="21"/>
        <v>38100.79</v>
      </c>
      <c r="I52" s="369">
        <v>50000</v>
      </c>
      <c r="J52" s="368">
        <v>37819.120000000003</v>
      </c>
      <c r="K52" s="430">
        <f t="shared" si="14"/>
        <v>-7.3927600976252264E-3</v>
      </c>
      <c r="L52" s="425">
        <v>0.03</v>
      </c>
      <c r="M52" s="368">
        <v>54075</v>
      </c>
      <c r="N52" s="368">
        <v>40916.82</v>
      </c>
      <c r="O52" s="430">
        <f t="shared" si="15"/>
        <v>7.3910016039037477E-2</v>
      </c>
      <c r="P52" s="369">
        <v>-1715.02</v>
      </c>
      <c r="Q52" s="430">
        <f>(N52+P52-F52)/F52</f>
        <v>2.8897301079583968E-2</v>
      </c>
    </row>
    <row r="53" spans="1:17" x14ac:dyDescent="0.25">
      <c r="A53" s="21">
        <f t="shared" si="17"/>
        <v>10</v>
      </c>
      <c r="B53" t="str">
        <f t="shared" ref="B53:F53" si="22">B22</f>
        <v>ARTT2</v>
      </c>
      <c r="C53" s="21" t="str">
        <f t="shared" si="22"/>
        <v>CADRE</v>
      </c>
      <c r="D53" s="21" t="str">
        <f t="shared" si="22"/>
        <v>Strasbourg</v>
      </c>
      <c r="E53" s="281">
        <f t="shared" si="22"/>
        <v>50000</v>
      </c>
      <c r="F53" s="281">
        <f t="shared" si="22"/>
        <v>37432.99</v>
      </c>
      <c r="I53" s="369">
        <v>50000</v>
      </c>
      <c r="J53" s="368">
        <v>37206.19</v>
      </c>
      <c r="K53" s="430">
        <f t="shared" si="14"/>
        <v>-6.0588267194257167E-3</v>
      </c>
      <c r="L53" s="425">
        <v>0.03</v>
      </c>
      <c r="M53" s="368">
        <v>54075</v>
      </c>
      <c r="N53" s="368">
        <v>40242.76</v>
      </c>
      <c r="O53" s="430">
        <f t="shared" si="15"/>
        <v>7.5061329591892184E-2</v>
      </c>
      <c r="P53" s="369">
        <v>-1715.02</v>
      </c>
      <c r="Q53" s="430">
        <f t="shared" ref="Q53:Q62" si="23">(N53+P53-F53)/F53</f>
        <v>2.9245593258780754E-2</v>
      </c>
    </row>
    <row r="54" spans="1:17" x14ac:dyDescent="0.25">
      <c r="A54" s="21">
        <f t="shared" si="17"/>
        <v>11</v>
      </c>
      <c r="B54" t="str">
        <f t="shared" ref="B54:E54" si="24">B23</f>
        <v>ARTT2</v>
      </c>
      <c r="C54" s="21" t="str">
        <f t="shared" si="24"/>
        <v>CADRE</v>
      </c>
      <c r="D54" s="21" t="str">
        <f t="shared" si="24"/>
        <v>Paris</v>
      </c>
      <c r="E54" s="281">
        <f t="shared" si="24"/>
        <v>50000</v>
      </c>
      <c r="I54" s="369"/>
      <c r="J54" s="368"/>
      <c r="K54" s="430" t="e">
        <f t="shared" si="14"/>
        <v>#DIV/0!</v>
      </c>
      <c r="L54" s="425"/>
      <c r="M54" s="368"/>
      <c r="N54" s="368"/>
      <c r="O54" s="430" t="e">
        <f t="shared" si="15"/>
        <v>#DIV/0!</v>
      </c>
      <c r="P54" s="369"/>
      <c r="Q54" s="430" t="e">
        <f t="shared" si="23"/>
        <v>#DIV/0!</v>
      </c>
    </row>
    <row r="55" spans="1:17" x14ac:dyDescent="0.25">
      <c r="A55" s="21">
        <f t="shared" si="17"/>
        <v>12</v>
      </c>
      <c r="B55" t="str">
        <f t="shared" ref="B55:E55" si="25">B24</f>
        <v>ARTT2</v>
      </c>
      <c r="C55" s="21" t="str">
        <f t="shared" si="25"/>
        <v>CADRE</v>
      </c>
      <c r="D55" s="21" t="str">
        <f t="shared" si="25"/>
        <v>Strasbourg</v>
      </c>
      <c r="E55" s="281">
        <f t="shared" si="25"/>
        <v>50000</v>
      </c>
      <c r="I55" s="369"/>
      <c r="J55" s="368"/>
      <c r="K55" s="430" t="e">
        <f t="shared" si="14"/>
        <v>#DIV/0!</v>
      </c>
      <c r="L55" s="425"/>
      <c r="M55" s="368"/>
      <c r="N55" s="368"/>
      <c r="O55" s="430" t="e">
        <f t="shared" si="15"/>
        <v>#DIV/0!</v>
      </c>
      <c r="P55" s="369"/>
      <c r="Q55" s="430" t="e">
        <f t="shared" si="23"/>
        <v>#DIV/0!</v>
      </c>
    </row>
    <row r="56" spans="1:17" x14ac:dyDescent="0.25">
      <c r="A56" s="21">
        <f t="shared" si="17"/>
        <v>13</v>
      </c>
      <c r="B56" t="str">
        <f t="shared" ref="B56:F56" si="26">B25</f>
        <v>ARTT2</v>
      </c>
      <c r="C56" s="21" t="str">
        <f t="shared" si="26"/>
        <v>CADRE</v>
      </c>
      <c r="D56" s="21" t="str">
        <f t="shared" si="26"/>
        <v>Paris</v>
      </c>
      <c r="E56" s="281">
        <f t="shared" si="26"/>
        <v>60000</v>
      </c>
      <c r="F56" s="281">
        <f t="shared" si="26"/>
        <v>45905.05</v>
      </c>
      <c r="I56" s="369">
        <v>60000</v>
      </c>
      <c r="J56" s="368">
        <v>45420.84</v>
      </c>
      <c r="K56" s="430">
        <f t="shared" si="14"/>
        <v>-1.054807695449643E-2</v>
      </c>
      <c r="L56" s="425">
        <v>0.03</v>
      </c>
      <c r="M56" s="368">
        <v>64890</v>
      </c>
      <c r="N56" s="368">
        <v>49138.080000000002</v>
      </c>
      <c r="O56" s="430">
        <f t="shared" si="15"/>
        <v>7.042863475804946E-2</v>
      </c>
      <c r="P56" s="369">
        <v>-1868.94</v>
      </c>
      <c r="Q56" s="430">
        <f t="shared" si="23"/>
        <v>2.9715467034672576E-2</v>
      </c>
    </row>
    <row r="57" spans="1:17" x14ac:dyDescent="0.25">
      <c r="A57" s="21">
        <f t="shared" si="17"/>
        <v>14</v>
      </c>
      <c r="B57" t="str">
        <f t="shared" ref="B57:F57" si="27">B26</f>
        <v>ARTT2</v>
      </c>
      <c r="C57" s="21" t="str">
        <f t="shared" si="27"/>
        <v>CADRE</v>
      </c>
      <c r="D57" s="21" t="str">
        <f t="shared" si="27"/>
        <v>Strasbourg</v>
      </c>
      <c r="E57" s="281">
        <f t="shared" si="27"/>
        <v>60000</v>
      </c>
      <c r="F57" s="281">
        <f t="shared" si="27"/>
        <v>45087.25</v>
      </c>
      <c r="I57" s="369">
        <v>60000</v>
      </c>
      <c r="J57" s="368">
        <v>44657.9</v>
      </c>
      <c r="K57" s="430">
        <f t="shared" si="14"/>
        <v>-9.5226477551857459E-3</v>
      </c>
      <c r="L57" s="425">
        <v>0.03</v>
      </c>
      <c r="M57" s="368">
        <v>64890</v>
      </c>
      <c r="N57" s="368">
        <v>48301.79</v>
      </c>
      <c r="O57" s="430">
        <f t="shared" si="15"/>
        <v>7.1295987224769777E-2</v>
      </c>
      <c r="P57" s="369">
        <v>-1868.94</v>
      </c>
      <c r="Q57" s="430">
        <f t="shared" si="23"/>
        <v>2.9844357329400186E-2</v>
      </c>
    </row>
    <row r="58" spans="1:17" x14ac:dyDescent="0.25">
      <c r="A58" s="21">
        <f t="shared" si="17"/>
        <v>15</v>
      </c>
      <c r="B58" t="str">
        <f t="shared" ref="B58:F58" si="28">B27</f>
        <v>ARTT2</v>
      </c>
      <c r="C58" s="21" t="str">
        <f t="shared" si="28"/>
        <v>CADRE</v>
      </c>
      <c r="D58" s="21" t="str">
        <f t="shared" si="28"/>
        <v>Paris</v>
      </c>
      <c r="E58" s="281">
        <f t="shared" si="28"/>
        <v>60000</v>
      </c>
      <c r="F58" s="281">
        <f t="shared" si="28"/>
        <v>0</v>
      </c>
      <c r="I58" s="369"/>
      <c r="J58" s="368"/>
      <c r="K58" s="430" t="e">
        <f t="shared" si="14"/>
        <v>#DIV/0!</v>
      </c>
      <c r="L58" s="425"/>
      <c r="M58" s="368"/>
      <c r="N58" s="368"/>
      <c r="O58" s="430" t="e">
        <f t="shared" si="15"/>
        <v>#DIV/0!</v>
      </c>
      <c r="P58" s="369"/>
      <c r="Q58" s="430" t="e">
        <f t="shared" si="23"/>
        <v>#DIV/0!</v>
      </c>
    </row>
    <row r="59" spans="1:17" x14ac:dyDescent="0.25">
      <c r="A59" s="21">
        <f t="shared" si="17"/>
        <v>16</v>
      </c>
      <c r="B59" t="str">
        <f t="shared" ref="B59:F59" si="29">B28</f>
        <v>ARTT2</v>
      </c>
      <c r="C59" s="21" t="str">
        <f t="shared" si="29"/>
        <v>CADRE</v>
      </c>
      <c r="D59" s="21" t="str">
        <f t="shared" si="29"/>
        <v>Strasbourg</v>
      </c>
      <c r="E59" s="281">
        <f t="shared" si="29"/>
        <v>60000</v>
      </c>
      <c r="F59" s="281">
        <f t="shared" si="29"/>
        <v>0</v>
      </c>
      <c r="I59" s="369"/>
      <c r="J59" s="368"/>
      <c r="K59" s="430" t="e">
        <f t="shared" si="14"/>
        <v>#DIV/0!</v>
      </c>
      <c r="L59" s="425"/>
      <c r="M59" s="368"/>
      <c r="N59" s="368"/>
      <c r="O59" s="430" t="e">
        <f t="shared" si="15"/>
        <v>#DIV/0!</v>
      </c>
      <c r="P59" s="369"/>
      <c r="Q59" s="430" t="e">
        <f t="shared" si="23"/>
        <v>#DIV/0!</v>
      </c>
    </row>
    <row r="60" spans="1:17" x14ac:dyDescent="0.25">
      <c r="A60" s="21">
        <f t="shared" si="17"/>
        <v>17</v>
      </c>
      <c r="B60" t="str">
        <f t="shared" ref="B60:F60" si="30">B29</f>
        <v>ARTT1</v>
      </c>
      <c r="C60" s="21" t="str">
        <f t="shared" si="30"/>
        <v>CADRE</v>
      </c>
      <c r="D60" s="21" t="str">
        <f t="shared" si="30"/>
        <v>Paris</v>
      </c>
      <c r="E60" s="281">
        <f t="shared" si="30"/>
        <v>60000</v>
      </c>
      <c r="F60" s="281">
        <f t="shared" si="30"/>
        <v>45905.05</v>
      </c>
      <c r="I60" s="369">
        <v>60000</v>
      </c>
      <c r="J60" s="368">
        <v>45420.84</v>
      </c>
      <c r="K60" s="430">
        <f t="shared" si="14"/>
        <v>-1.054807695449643E-2</v>
      </c>
      <c r="L60" s="425">
        <v>0.03</v>
      </c>
      <c r="M60" s="368">
        <v>61219.199999999997</v>
      </c>
      <c r="N60" s="368">
        <v>46347.64</v>
      </c>
      <c r="O60" s="430">
        <f t="shared" si="15"/>
        <v>9.6414228935595651E-3</v>
      </c>
      <c r="P60" s="369">
        <v>-1986.4</v>
      </c>
      <c r="Q60" s="430">
        <f t="shared" si="23"/>
        <v>-3.3630504704820166E-2</v>
      </c>
    </row>
    <row r="61" spans="1:17" x14ac:dyDescent="0.25">
      <c r="A61" s="21">
        <f t="shared" si="17"/>
        <v>18</v>
      </c>
      <c r="B61" t="str">
        <f t="shared" ref="B61:F61" si="31">B30</f>
        <v>ARTT3</v>
      </c>
      <c r="C61" s="21" t="str">
        <f t="shared" si="31"/>
        <v>CADRE</v>
      </c>
      <c r="D61" s="21" t="str">
        <f t="shared" si="31"/>
        <v>Paris</v>
      </c>
      <c r="E61" s="281">
        <f t="shared" si="31"/>
        <v>80000</v>
      </c>
      <c r="F61" s="281">
        <f t="shared" si="31"/>
        <v>61513.56</v>
      </c>
      <c r="I61" s="369">
        <v>80000</v>
      </c>
      <c r="J61" s="368">
        <v>60624.27</v>
      </c>
      <c r="K61" s="430">
        <f t="shared" si="14"/>
        <v>-1.4456812449157566E-2</v>
      </c>
      <c r="L61" s="425">
        <v>0.03</v>
      </c>
      <c r="M61" s="368">
        <v>81619.199999999997</v>
      </c>
      <c r="N61" s="368">
        <v>61855.14</v>
      </c>
      <c r="O61" s="430">
        <f t="shared" si="15"/>
        <v>5.552921989883235E-3</v>
      </c>
      <c r="P61" s="369">
        <v>-2333.6</v>
      </c>
      <c r="Q61" s="430">
        <f t="shared" si="23"/>
        <v>-3.2383428954526401E-2</v>
      </c>
    </row>
    <row r="62" spans="1:17" x14ac:dyDescent="0.25">
      <c r="A62" s="21">
        <f t="shared" si="17"/>
        <v>19</v>
      </c>
      <c r="B62" t="str">
        <f t="shared" ref="B62:F62" si="32">B31</f>
        <v>ARTT3</v>
      </c>
      <c r="C62" s="21" t="str">
        <f t="shared" si="32"/>
        <v>CADRE</v>
      </c>
      <c r="D62" s="21" t="str">
        <f t="shared" si="32"/>
        <v>Strasbourg</v>
      </c>
      <c r="E62" s="281">
        <f t="shared" si="32"/>
        <v>80000</v>
      </c>
      <c r="F62" s="281">
        <f t="shared" si="32"/>
        <v>60395.76</v>
      </c>
      <c r="I62" s="371">
        <v>80000</v>
      </c>
      <c r="J62" s="370">
        <v>59561.33</v>
      </c>
      <c r="K62" s="431">
        <f t="shared" si="14"/>
        <v>-1.3816036092599883E-2</v>
      </c>
      <c r="L62" s="445">
        <v>0.03</v>
      </c>
      <c r="M62" s="370">
        <v>81619.199999999997</v>
      </c>
      <c r="N62" s="370">
        <v>60767.92</v>
      </c>
      <c r="O62" s="431">
        <f t="shared" si="15"/>
        <v>6.1620219697541053E-3</v>
      </c>
      <c r="P62" s="371">
        <f>-2333.6</f>
        <v>-2333.6</v>
      </c>
      <c r="Q62" s="431">
        <f t="shared" si="23"/>
        <v>-3.2476451989344984E-2</v>
      </c>
    </row>
  </sheetData>
  <mergeCells count="10">
    <mergeCell ref="E3:G3"/>
    <mergeCell ref="B2:G2"/>
    <mergeCell ref="P33:Q34"/>
    <mergeCell ref="I33:O33"/>
    <mergeCell ref="L34:O34"/>
    <mergeCell ref="H3:K3"/>
    <mergeCell ref="H2:O2"/>
    <mergeCell ref="P2:Q3"/>
    <mergeCell ref="M3:O3"/>
    <mergeCell ref="I34:K34"/>
  </mergeCells>
  <conditionalFormatting sqref="O5:O9">
    <cfRule type="cellIs" dxfId="18" priority="31" operator="lessThan">
      <formula>0</formula>
    </cfRule>
  </conditionalFormatting>
  <conditionalFormatting sqref="K36:L40">
    <cfRule type="cellIs" dxfId="17" priority="30" operator="lessThan">
      <formula>0</formula>
    </cfRule>
  </conditionalFormatting>
  <conditionalFormatting sqref="O13 Q13">
    <cfRule type="cellIs" dxfId="16" priority="28" operator="lessThan">
      <formula>0</formula>
    </cfRule>
  </conditionalFormatting>
  <conditionalFormatting sqref="O14:O31">
    <cfRule type="cellIs" dxfId="15" priority="20" operator="lessThan">
      <formula>0</formula>
    </cfRule>
  </conditionalFormatting>
  <conditionalFormatting sqref="Q14:Q31">
    <cfRule type="cellIs" dxfId="14" priority="21" operator="lessThan">
      <formula>0</formula>
    </cfRule>
  </conditionalFormatting>
  <conditionalFormatting sqref="K44:K62">
    <cfRule type="cellIs" dxfId="13" priority="25" operator="lessThan">
      <formula>0</formula>
    </cfRule>
  </conditionalFormatting>
  <conditionalFormatting sqref="Q53:Q62">
    <cfRule type="cellIs" dxfId="12" priority="12" operator="lessThan">
      <formula>0</formula>
    </cfRule>
  </conditionalFormatting>
  <conditionalFormatting sqref="Q50:Q51">
    <cfRule type="cellIs" dxfId="11" priority="17" operator="lessThan">
      <formula>0</formula>
    </cfRule>
  </conditionalFormatting>
  <conditionalFormatting sqref="O44:O61">
    <cfRule type="cellIs" dxfId="10" priority="22" operator="lessThan">
      <formula>0</formula>
    </cfRule>
  </conditionalFormatting>
  <conditionalFormatting sqref="Q52">
    <cfRule type="cellIs" dxfId="9" priority="13" operator="lessThan">
      <formula>0</formula>
    </cfRule>
  </conditionalFormatting>
  <conditionalFormatting sqref="O62">
    <cfRule type="cellIs" dxfId="8" priority="11" operator="lessThan">
      <formula>0</formula>
    </cfRule>
  </conditionalFormatting>
  <conditionalFormatting sqref="Q36:Q40">
    <cfRule type="cellIs" dxfId="7" priority="2" operator="lessThan">
      <formula>0</formula>
    </cfRule>
  </conditionalFormatting>
  <conditionalFormatting sqref="Q45:Q48">
    <cfRule type="cellIs" dxfId="6" priority="15" operator="lessThan">
      <formula>0</formula>
    </cfRule>
  </conditionalFormatting>
  <conditionalFormatting sqref="Q49">
    <cfRule type="cellIs" dxfId="5" priority="14" operator="lessThan">
      <formula>0</formula>
    </cfRule>
  </conditionalFormatting>
  <conditionalFormatting sqref="Q5:Q9">
    <cfRule type="cellIs" dxfId="4" priority="10" operator="lessThan">
      <formula>0</formula>
    </cfRule>
  </conditionalFormatting>
  <conditionalFormatting sqref="O36:O40">
    <cfRule type="cellIs" dxfId="3" priority="4" operator="lessThan">
      <formula>0</formula>
    </cfRule>
  </conditionalFormatting>
  <conditionalFormatting sqref="Q44">
    <cfRule type="cellIs" dxfId="2" priority="1" operator="lessThan">
      <formula>0</formula>
    </cfRule>
  </conditionalFormatting>
  <pageMargins left="0.7" right="0.7" top="0.75" bottom="0.75" header="0.3" footer="0.3"/>
  <pageSetup paperSize="9" orientation="portrait" r:id="rId1"/>
  <headerFooter>
    <oddHeader>&amp;R&amp;"Calibri"&amp;12&amp;KFF8C00CONFIDENTIAL &amp; RESTRICTED&amp;1#</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AAAA6-EA3D-40DA-B63F-0C6ECC84AF3A}">
  <dimension ref="A1:S71"/>
  <sheetViews>
    <sheetView topLeftCell="A41" zoomScale="80" zoomScaleNormal="80" workbookViewId="0">
      <selection activeCell="G71" sqref="G71"/>
    </sheetView>
  </sheetViews>
  <sheetFormatPr defaultRowHeight="15" x14ac:dyDescent="0.25"/>
  <cols>
    <col min="1" max="3" width="13.7109375" style="17" customWidth="1"/>
    <col min="4" max="4" width="14.42578125" customWidth="1"/>
    <col min="5" max="5" width="16" customWidth="1"/>
    <col min="6" max="6" width="12.42578125" customWidth="1"/>
    <col min="7" max="7" width="14.85546875" customWidth="1"/>
    <col min="8" max="8" width="12.42578125" customWidth="1"/>
    <col min="9" max="9" width="17.7109375" customWidth="1"/>
    <col min="10" max="10" width="11.140625" customWidth="1"/>
    <col min="11" max="11" width="12.42578125" customWidth="1"/>
    <col min="12" max="12" width="13.42578125" customWidth="1"/>
    <col min="13" max="13" width="13.85546875" customWidth="1"/>
    <col min="14" max="14" width="14.28515625" bestFit="1" customWidth="1"/>
    <col min="15" max="15" width="13" bestFit="1" customWidth="1"/>
    <col min="16" max="16" width="6.5703125" bestFit="1" customWidth="1"/>
    <col min="17" max="17" width="12.85546875" bestFit="1" customWidth="1"/>
    <col min="19" max="19" width="12.85546875" bestFit="1" customWidth="1"/>
  </cols>
  <sheetData>
    <row r="1" spans="1:14" s="17" customFormat="1" ht="48" customHeight="1" x14ac:dyDescent="0.25">
      <c r="D1" s="733" t="s">
        <v>0</v>
      </c>
      <c r="E1" s="733"/>
      <c r="F1" s="733"/>
      <c r="G1" s="733"/>
      <c r="H1" s="733"/>
      <c r="I1" s="733"/>
      <c r="J1" s="733"/>
      <c r="K1" s="733"/>
      <c r="L1" s="733"/>
      <c r="M1" s="733"/>
      <c r="N1" s="733"/>
    </row>
    <row r="2" spans="1:14" s="17" customFormat="1" ht="21.6" customHeight="1" thickBot="1" x14ac:dyDescent="0.3">
      <c r="G2" s="31"/>
      <c r="H2" s="31" t="s">
        <v>3</v>
      </c>
    </row>
    <row r="3" spans="1:14" s="17" customFormat="1" ht="21" customHeight="1" thickBot="1" x14ac:dyDescent="0.3">
      <c r="D3" s="185" t="s">
        <v>1</v>
      </c>
      <c r="G3" s="589" t="s">
        <v>2</v>
      </c>
      <c r="H3" s="590"/>
    </row>
    <row r="4" spans="1:14" s="17" customFormat="1" ht="21" customHeight="1" x14ac:dyDescent="0.3">
      <c r="D4" s="18"/>
      <c r="E4" s="20"/>
    </row>
    <row r="5" spans="1:14" s="17" customFormat="1" ht="22.5" customHeight="1" x14ac:dyDescent="0.4">
      <c r="A5" s="545" t="s">
        <v>4</v>
      </c>
      <c r="B5" s="545"/>
      <c r="C5" s="545"/>
      <c r="D5" s="20"/>
    </row>
    <row r="6" spans="1:14" s="17" customFormat="1" ht="19.5" customHeight="1" thickBot="1" x14ac:dyDescent="0.35">
      <c r="A6" s="643" t="s">
        <v>11</v>
      </c>
      <c r="B6" s="643"/>
      <c r="C6" s="643"/>
      <c r="D6" s="20"/>
      <c r="E6" s="643" t="s">
        <v>12</v>
      </c>
      <c r="F6" s="643"/>
      <c r="G6" s="643"/>
      <c r="I6" s="644" t="s">
        <v>131</v>
      </c>
      <c r="J6" s="644"/>
      <c r="K6" s="644"/>
    </row>
    <row r="7" spans="1:14" s="17" customFormat="1" ht="24" customHeight="1" thickBot="1" x14ac:dyDescent="0.35">
      <c r="A7" s="614">
        <v>3000</v>
      </c>
      <c r="B7" s="615"/>
      <c r="C7" s="616"/>
      <c r="D7" s="20"/>
      <c r="E7" s="617">
        <f>D46*12</f>
        <v>36000</v>
      </c>
      <c r="F7" s="618"/>
      <c r="G7" s="619"/>
      <c r="I7" s="739">
        <v>0</v>
      </c>
      <c r="J7" s="740"/>
      <c r="K7" s="741"/>
    </row>
    <row r="9" spans="1:14" ht="21.75" customHeight="1" x14ac:dyDescent="0.25">
      <c r="E9" s="281"/>
      <c r="G9" s="281"/>
      <c r="H9" s="281"/>
    </row>
    <row r="10" spans="1:14" ht="36" customHeight="1" x14ac:dyDescent="0.25">
      <c r="A10" s="623" t="s">
        <v>132</v>
      </c>
      <c r="B10" s="623"/>
      <c r="C10" s="623"/>
      <c r="D10" s="636" t="s">
        <v>133</v>
      </c>
      <c r="E10" s="636"/>
      <c r="F10" s="636"/>
      <c r="G10" s="636"/>
      <c r="H10" s="636"/>
      <c r="I10" s="636"/>
      <c r="J10" s="636"/>
      <c r="K10" s="636"/>
      <c r="L10" s="636"/>
      <c r="M10" s="636"/>
      <c r="N10" s="636"/>
    </row>
    <row r="11" spans="1:14" ht="21.75" customHeight="1" x14ac:dyDescent="0.25">
      <c r="A11" s="365" t="str">
        <f>IF($E$7&lt;$B$11,"&lt;","&gt;=")</f>
        <v>&lt;</v>
      </c>
      <c r="B11" s="729">
        <v>45000</v>
      </c>
      <c r="C11" s="730"/>
      <c r="D11" s="631" t="s">
        <v>19</v>
      </c>
      <c r="E11" s="632"/>
      <c r="F11" s="707" t="s">
        <v>20</v>
      </c>
      <c r="G11" s="708"/>
      <c r="H11" s="664" t="s">
        <v>21</v>
      </c>
      <c r="I11" s="631" t="s">
        <v>22</v>
      </c>
      <c r="J11" s="632"/>
      <c r="K11" s="743" t="s">
        <v>20</v>
      </c>
      <c r="L11" s="708"/>
      <c r="M11" s="640" t="s">
        <v>23</v>
      </c>
      <c r="N11" s="641"/>
    </row>
    <row r="12" spans="1:14" ht="15.75" x14ac:dyDescent="0.25">
      <c r="A12" s="364"/>
      <c r="D12" s="177" t="s">
        <v>25</v>
      </c>
      <c r="E12" s="178" t="s">
        <v>26</v>
      </c>
      <c r="F12" s="308" t="s">
        <v>25</v>
      </c>
      <c r="G12" s="309" t="s">
        <v>26</v>
      </c>
      <c r="H12" s="665"/>
      <c r="I12" s="177" t="s">
        <v>27</v>
      </c>
      <c r="J12" s="178" t="s">
        <v>28</v>
      </c>
      <c r="K12" s="161" t="s">
        <v>27</v>
      </c>
      <c r="L12" s="311" t="s">
        <v>28</v>
      </c>
      <c r="M12" s="335" t="s">
        <v>27</v>
      </c>
      <c r="N12" s="336" t="s">
        <v>28</v>
      </c>
    </row>
    <row r="13" spans="1:14" ht="15.75" x14ac:dyDescent="0.25">
      <c r="A13" s="709" t="s">
        <v>17</v>
      </c>
      <c r="B13" s="232" t="s">
        <v>6</v>
      </c>
      <c r="C13" s="271" t="s">
        <v>134</v>
      </c>
      <c r="D13" s="264">
        <f>IF($E$7&lt;$B$11,E45,0)</f>
        <v>-49.71611</v>
      </c>
      <c r="E13" s="265">
        <f>D13*12</f>
        <v>-596.59331999999995</v>
      </c>
      <c r="F13" s="288">
        <f>IF($E$7&lt;$B$11,E47,0)</f>
        <v>-64.858936617500007</v>
      </c>
      <c r="G13" s="289">
        <f>F13*12</f>
        <v>-778.30723941000008</v>
      </c>
      <c r="H13" s="331">
        <f>IF($E$7&lt;$B$11,(G13-E13)/E13,0)</f>
        <v>0.30458591023111042</v>
      </c>
      <c r="I13" s="266">
        <f>IF($E$7&lt;$B$11,M45,0)</f>
        <v>0</v>
      </c>
      <c r="J13" s="316">
        <f>IF($E$7&lt;$B$11,N45,0)</f>
        <v>0</v>
      </c>
      <c r="K13" s="288">
        <f>IF($E$7&lt;$B$11,M47,0)</f>
        <v>1.6649999999999998E-2</v>
      </c>
      <c r="L13" s="312">
        <f>IF($E$7&lt;$B$11,N47,0)</f>
        <v>3.3299999999999996E-2</v>
      </c>
      <c r="M13" s="330" t="e">
        <f>IF($E$7&lt;$B$11,(K13-I13)/I13,0)</f>
        <v>#DIV/0!</v>
      </c>
      <c r="N13" s="331" t="e">
        <f>IF($E$7&lt;$B$11,(L13-$J$13)/$J$13,0)</f>
        <v>#DIV/0!</v>
      </c>
    </row>
    <row r="14" spans="1:14" ht="15.75" x14ac:dyDescent="0.25">
      <c r="A14" s="710"/>
      <c r="B14" s="199" t="s">
        <v>24</v>
      </c>
      <c r="C14" s="272" t="s">
        <v>134</v>
      </c>
      <c r="D14" s="222">
        <f>E46</f>
        <v>-49.71611</v>
      </c>
      <c r="E14" s="221">
        <f>D14*12</f>
        <v>-596.59331999999995</v>
      </c>
      <c r="F14" s="290">
        <f>E47</f>
        <v>-64.858936617500007</v>
      </c>
      <c r="G14" s="291">
        <f>F14*12</f>
        <v>-778.30723941000008</v>
      </c>
      <c r="H14" s="327">
        <f t="shared" ref="H14:H16" si="0">(G14-E14)/E14</f>
        <v>0.30458591023111042</v>
      </c>
      <c r="I14" s="220">
        <f>M46</f>
        <v>0</v>
      </c>
      <c r="J14" s="317">
        <f>N46</f>
        <v>0</v>
      </c>
      <c r="K14" s="290">
        <f>M47</f>
        <v>1.6649999999999998E-2</v>
      </c>
      <c r="L14" s="313">
        <f>N47</f>
        <v>3.3299999999999996E-2</v>
      </c>
      <c r="M14" s="326" t="e">
        <f t="shared" ref="M14:M16" si="1">(K14-I14)/I14</f>
        <v>#DIV/0!</v>
      </c>
      <c r="N14" s="327" t="e">
        <f>(L14-$J$14)/$J$14</f>
        <v>#DIV/0!</v>
      </c>
    </row>
    <row r="15" spans="1:14" ht="15.75" x14ac:dyDescent="0.25">
      <c r="A15" s="711" t="s">
        <v>8</v>
      </c>
      <c r="B15" s="713" t="s">
        <v>24</v>
      </c>
      <c r="C15" s="234" t="s">
        <v>135</v>
      </c>
      <c r="D15" s="218">
        <f>E46</f>
        <v>-49.71611</v>
      </c>
      <c r="E15" s="217">
        <f>D15*12</f>
        <v>-596.59331999999995</v>
      </c>
      <c r="F15" s="292">
        <f>F14</f>
        <v>-64.858936617500007</v>
      </c>
      <c r="G15" s="293">
        <f>F15*12</f>
        <v>-778.30723941000008</v>
      </c>
      <c r="H15" s="329">
        <f t="shared" si="0"/>
        <v>0.30458591023111042</v>
      </c>
      <c r="I15" s="216">
        <f>I14</f>
        <v>0</v>
      </c>
      <c r="J15" s="318">
        <f>J14</f>
        <v>0</v>
      </c>
      <c r="K15" s="292">
        <f>K14</f>
        <v>1.6649999999999998E-2</v>
      </c>
      <c r="L15" s="314">
        <f>L14</f>
        <v>3.3299999999999996E-2</v>
      </c>
      <c r="M15" s="328" t="e">
        <f t="shared" si="1"/>
        <v>#DIV/0!</v>
      </c>
      <c r="N15" s="329" t="e">
        <f>(L15-$J$15)/$J$15</f>
        <v>#DIV/0!</v>
      </c>
    </row>
    <row r="16" spans="1:14" ht="15.75" x14ac:dyDescent="0.25">
      <c r="A16" s="712"/>
      <c r="B16" s="714"/>
      <c r="C16" s="233" t="s">
        <v>136</v>
      </c>
      <c r="D16" s="222">
        <f>E46</f>
        <v>-49.71611</v>
      </c>
      <c r="E16" s="221">
        <f>D16*12</f>
        <v>-596.59331999999995</v>
      </c>
      <c r="F16" s="290">
        <f>F15</f>
        <v>-64.858936617500007</v>
      </c>
      <c r="G16" s="291">
        <f>F16*12</f>
        <v>-778.30723941000008</v>
      </c>
      <c r="H16" s="327">
        <f t="shared" si="0"/>
        <v>0.30458591023111042</v>
      </c>
      <c r="I16" s="220">
        <f>I14</f>
        <v>0</v>
      </c>
      <c r="J16" s="317">
        <f>J14</f>
        <v>0</v>
      </c>
      <c r="K16" s="290">
        <f>K14</f>
        <v>1.6649999999999998E-2</v>
      </c>
      <c r="L16" s="313">
        <f>L14</f>
        <v>3.3299999999999996E-2</v>
      </c>
      <c r="M16" s="326" t="e">
        <f t="shared" si="1"/>
        <v>#DIV/0!</v>
      </c>
      <c r="N16" s="327" t="e">
        <f>(L16-$J$16)/$J$16</f>
        <v>#DIV/0!</v>
      </c>
    </row>
    <row r="17" spans="1:15" ht="15.75" x14ac:dyDescent="0.25">
      <c r="A17" s="230" t="s">
        <v>29</v>
      </c>
      <c r="B17" s="225" t="s">
        <v>24</v>
      </c>
      <c r="C17" s="235" t="s">
        <v>137</v>
      </c>
      <c r="D17" s="228">
        <f>IF($E$7&lt;$B$11,0,E46)</f>
        <v>0</v>
      </c>
      <c r="E17" s="227">
        <f>D17*12</f>
        <v>0</v>
      </c>
      <c r="F17" s="294">
        <f>IF($E$7&lt;$B$11,0,F16)</f>
        <v>0</v>
      </c>
      <c r="G17" s="295">
        <f>F17*12</f>
        <v>0</v>
      </c>
      <c r="H17" s="327">
        <f>IF($E$7&lt;$B$11,0,(G17-E17)/E17)</f>
        <v>0</v>
      </c>
      <c r="I17" s="226">
        <f>IF($E$7&lt;$B$11,0,I14)</f>
        <v>0</v>
      </c>
      <c r="J17" s="319">
        <f>IF($E$7&lt;$B$11,0,J14)</f>
        <v>0</v>
      </c>
      <c r="K17" s="294">
        <f>IF($E$7&lt;$B$11,0,K14)</f>
        <v>0</v>
      </c>
      <c r="L17" s="315">
        <f>IF($E$7&lt;$B$11,0,L14)</f>
        <v>0</v>
      </c>
      <c r="M17" s="326">
        <f>IF($E$7&lt;$B$11,0,(K17-I17)/I17)</f>
        <v>0</v>
      </c>
      <c r="N17" s="327">
        <f>IF($E$7&lt;$B$11,0,(L17-$J$17)/$J$17)</f>
        <v>0</v>
      </c>
    </row>
    <row r="18" spans="1:15" x14ac:dyDescent="0.25">
      <c r="A18" s="284"/>
      <c r="B18" s="285"/>
      <c r="C18" s="286"/>
      <c r="O18" s="280"/>
    </row>
    <row r="19" spans="1:15" x14ac:dyDescent="0.25">
      <c r="A19" s="284"/>
      <c r="B19" s="285"/>
      <c r="C19" s="286"/>
    </row>
    <row r="20" spans="1:15" ht="15.75" customHeight="1" x14ac:dyDescent="0.25">
      <c r="A20" s="284"/>
      <c r="B20" s="285"/>
      <c r="C20" s="286"/>
      <c r="D20" s="624" t="s">
        <v>138</v>
      </c>
      <c r="E20" s="625"/>
      <c r="F20" s="625"/>
      <c r="G20" s="626"/>
      <c r="H20" s="664" t="s">
        <v>21</v>
      </c>
      <c r="I20" s="624" t="s">
        <v>139</v>
      </c>
      <c r="J20" s="625"/>
      <c r="K20" s="626"/>
      <c r="L20" s="640" t="s">
        <v>23</v>
      </c>
      <c r="M20" s="641"/>
      <c r="N20" s="337" t="s">
        <v>21</v>
      </c>
    </row>
    <row r="21" spans="1:15" ht="15.75" customHeight="1" x14ac:dyDescent="0.25">
      <c r="A21" s="284"/>
      <c r="B21" s="285"/>
      <c r="C21" s="286"/>
      <c r="D21" s="176" t="s">
        <v>25</v>
      </c>
      <c r="E21" s="174" t="s">
        <v>26</v>
      </c>
      <c r="F21" s="174" t="s">
        <v>140</v>
      </c>
      <c r="G21" s="263" t="s">
        <v>39</v>
      </c>
      <c r="H21" s="665"/>
      <c r="I21" s="332" t="s">
        <v>27</v>
      </c>
      <c r="J21" s="333" t="s">
        <v>141</v>
      </c>
      <c r="K21" s="334" t="s">
        <v>28</v>
      </c>
      <c r="L21" s="335" t="s">
        <v>27</v>
      </c>
      <c r="M21" s="336" t="s">
        <v>28</v>
      </c>
      <c r="N21" s="338" t="s">
        <v>142</v>
      </c>
    </row>
    <row r="22" spans="1:15" ht="15.75" x14ac:dyDescent="0.25">
      <c r="A22" s="709" t="s">
        <v>17</v>
      </c>
      <c r="B22" s="232" t="s">
        <v>6</v>
      </c>
      <c r="C22" s="271" t="s">
        <v>134</v>
      </c>
      <c r="D22" s="266">
        <f>E55</f>
        <v>2287.7114634175</v>
      </c>
      <c r="E22" s="277">
        <f>D22*12</f>
        <v>27452.537561010002</v>
      </c>
      <c r="F22" s="268">
        <f>E65</f>
        <v>0</v>
      </c>
      <c r="G22" s="265">
        <f>F22+E22</f>
        <v>27452.537561010002</v>
      </c>
      <c r="H22" s="331">
        <f>IF($E$7&lt;$B$11,(G22-$E13)/$E13,0)</f>
        <v>-47.015496051833104</v>
      </c>
      <c r="I22" s="266">
        <f>M55</f>
        <v>27.356849999999998</v>
      </c>
      <c r="J22" s="268">
        <f>M65</f>
        <v>0</v>
      </c>
      <c r="K22" s="310">
        <f>I22*2+J22</f>
        <v>54.713699999999996</v>
      </c>
      <c r="L22" s="330" t="e">
        <f>IF($E$7&lt;$B$11,(I22+J22-$I$13)/$I$13,0)</f>
        <v>#DIV/0!</v>
      </c>
      <c r="M22" s="331" t="e">
        <f>IF($E$7&lt;$B$11,(K22-$J$13)/$J$13,0)</f>
        <v>#DIV/0!</v>
      </c>
      <c r="N22" s="339">
        <f>IF($E$7&lt;$B$11,(G22+I22+J22-E13-I13)/(E13+I13),0)</f>
        <v>-47.06135115795464</v>
      </c>
    </row>
    <row r="23" spans="1:15" ht="15.75" x14ac:dyDescent="0.25">
      <c r="A23" s="710"/>
      <c r="B23" s="199" t="s">
        <v>24</v>
      </c>
      <c r="C23" s="272" t="s">
        <v>134</v>
      </c>
      <c r="D23" s="220">
        <f>E56</f>
        <v>2287.7114634175</v>
      </c>
      <c r="E23" s="269">
        <f t="shared" ref="E23:E26" si="2">D23*12</f>
        <v>27452.537561010002</v>
      </c>
      <c r="F23" s="270">
        <f>E66</f>
        <v>350.5660131825</v>
      </c>
      <c r="G23" s="221">
        <f>F23+E23</f>
        <v>27803.103574192501</v>
      </c>
      <c r="H23" s="327">
        <f>(G23-$E14)/$E14</f>
        <v>-47.60310908977744</v>
      </c>
      <c r="I23" s="220">
        <f>M56</f>
        <v>27.356849999999998</v>
      </c>
      <c r="J23" s="270">
        <f>M66</f>
        <v>5.5831500000000025</v>
      </c>
      <c r="K23" s="223">
        <f>I23*2+J23</f>
        <v>60.296849999999999</v>
      </c>
      <c r="L23" s="326" t="e">
        <f>(I23+J23-$I$14)/$I$14</f>
        <v>#DIV/0!</v>
      </c>
      <c r="M23" s="327" t="e">
        <f>(K23-$J$14)/$J$14</f>
        <v>#DIV/0!</v>
      </c>
      <c r="N23" s="340">
        <f>IF($E$7&lt;$B$11,(G23+I23+J23-E14-I14)/(E14-I14),0)</f>
        <v>-47.658322580937551</v>
      </c>
    </row>
    <row r="24" spans="1:15" ht="15.75" x14ac:dyDescent="0.25">
      <c r="A24" s="711" t="s">
        <v>8</v>
      </c>
      <c r="B24" s="713" t="s">
        <v>24</v>
      </c>
      <c r="C24" s="234" t="s">
        <v>135</v>
      </c>
      <c r="D24" s="216">
        <f>E57</f>
        <v>2287.7114634175</v>
      </c>
      <c r="E24" s="218">
        <f t="shared" si="2"/>
        <v>27452.537561010002</v>
      </c>
      <c r="F24" s="320">
        <f>E67</f>
        <v>640.344681315</v>
      </c>
      <c r="G24" s="217">
        <f>F24+E24</f>
        <v>28092.882242325002</v>
      </c>
      <c r="H24" s="329">
        <f>(G24-$E15)/$E15</f>
        <v>-48.088831370631176</v>
      </c>
      <c r="I24" s="216">
        <f>M57</f>
        <v>27.356849999999998</v>
      </c>
      <c r="J24" s="320">
        <f>M67</f>
        <v>41.22</v>
      </c>
      <c r="K24" s="219">
        <f>J24+I24*2</f>
        <v>95.933699999999988</v>
      </c>
      <c r="L24" s="328" t="e">
        <f>(I24+J24-$I$15)/$I$15</f>
        <v>#DIV/0!</v>
      </c>
      <c r="M24" s="329" t="e">
        <f>(K24-$J$15)/$J$15</f>
        <v>#DIV/0!</v>
      </c>
      <c r="N24" s="341">
        <f>IF($E$7&lt;$B$11,(G24+I24+J24-E15-I15)/(E15+I15),0)</f>
        <v>-48.203778768969464</v>
      </c>
    </row>
    <row r="25" spans="1:15" ht="15.75" x14ac:dyDescent="0.25">
      <c r="A25" s="712"/>
      <c r="B25" s="714"/>
      <c r="C25" s="233" t="s">
        <v>136</v>
      </c>
      <c r="D25" s="220">
        <f>E58</f>
        <v>2287.7114634175</v>
      </c>
      <c r="E25" s="222">
        <f t="shared" si="2"/>
        <v>27452.537561010002</v>
      </c>
      <c r="F25" s="270">
        <f>E68</f>
        <v>837.68391038250002</v>
      </c>
      <c r="G25" s="221">
        <f t="shared" ref="G25" si="3">F25+E25</f>
        <v>28290.221471392502</v>
      </c>
      <c r="H25" s="327">
        <f>(G25-$E16)/$E16</f>
        <v>-48.419608170256588</v>
      </c>
      <c r="I25" s="220">
        <f>M58</f>
        <v>27.356849999999998</v>
      </c>
      <c r="J25" s="270">
        <f>M68</f>
        <v>26.088750000000005</v>
      </c>
      <c r="K25" s="223">
        <f>J25+I25*2</f>
        <v>80.802449999999993</v>
      </c>
      <c r="L25" s="326" t="e">
        <f>(I25+J25-$I$16)/$I$16</f>
        <v>#DIV/0!</v>
      </c>
      <c r="M25" s="327" t="e">
        <f>(K25-$J$16)/$J$16</f>
        <v>#DIV/0!</v>
      </c>
      <c r="N25" s="340">
        <f>IF($E$7&lt;$B$11,(G25+I25+J25-E16-I16)/(E16+I16),0)</f>
        <v>-48.509192813946534</v>
      </c>
    </row>
    <row r="26" spans="1:15" ht="15.75" x14ac:dyDescent="0.25">
      <c r="A26" s="230" t="s">
        <v>29</v>
      </c>
      <c r="B26" s="225" t="s">
        <v>24</v>
      </c>
      <c r="C26" s="235" t="s">
        <v>137</v>
      </c>
      <c r="D26" s="226">
        <f>E59</f>
        <v>0</v>
      </c>
      <c r="E26" s="228">
        <f t="shared" si="2"/>
        <v>0</v>
      </c>
      <c r="F26" s="321">
        <f>E69</f>
        <v>0</v>
      </c>
      <c r="G26" s="227">
        <f>E26+F26</f>
        <v>0</v>
      </c>
      <c r="H26" s="327">
        <f>IF($E$7&lt;$B$11,0,(G26-$E17)/$E17)</f>
        <v>0</v>
      </c>
      <c r="I26" s="226">
        <f>M59</f>
        <v>0</v>
      </c>
      <c r="J26" s="321">
        <f>M69</f>
        <v>0</v>
      </c>
      <c r="K26" s="223">
        <f>J26+I26*2</f>
        <v>0</v>
      </c>
      <c r="L26" s="326">
        <f>IF($E$7&lt;$B$11,0,(I26+J26-$I$17)/$I$17)</f>
        <v>0</v>
      </c>
      <c r="M26" s="327">
        <f>IF($E$7&lt;$B$11,0,(K26-$J$17)/$J$17)</f>
        <v>0</v>
      </c>
      <c r="N26" s="340">
        <f>IF($E$7&lt;$B$11,0,(G26+I26+J26-E17-I17)/(E17-I17))</f>
        <v>0</v>
      </c>
    </row>
    <row r="27" spans="1:15" x14ac:dyDescent="0.25">
      <c r="A27" s="284"/>
      <c r="B27" s="285"/>
      <c r="C27" s="286"/>
      <c r="H27" s="280"/>
    </row>
    <row r="28" spans="1:15" ht="18.75" x14ac:dyDescent="0.25">
      <c r="A28" s="284"/>
      <c r="B28" s="285"/>
      <c r="C28" s="286"/>
      <c r="D28" s="624" t="s">
        <v>143</v>
      </c>
      <c r="E28" s="625"/>
      <c r="F28" s="625"/>
      <c r="G28" s="626"/>
      <c r="H28" s="664" t="s">
        <v>21</v>
      </c>
      <c r="I28" s="624" t="s">
        <v>144</v>
      </c>
      <c r="J28" s="625"/>
      <c r="K28" s="626"/>
      <c r="L28" s="640" t="s">
        <v>23</v>
      </c>
      <c r="M28" s="641"/>
      <c r="N28" s="337" t="s">
        <v>21</v>
      </c>
    </row>
    <row r="29" spans="1:15" ht="15.75" customHeight="1" x14ac:dyDescent="0.25">
      <c r="A29" s="284"/>
      <c r="B29" s="285"/>
      <c r="C29" s="286"/>
      <c r="D29" s="176" t="s">
        <v>25</v>
      </c>
      <c r="E29" s="174" t="s">
        <v>26</v>
      </c>
      <c r="F29" s="260" t="s">
        <v>140</v>
      </c>
      <c r="G29" s="263" t="s">
        <v>39</v>
      </c>
      <c r="H29" s="665"/>
      <c r="I29" s="332" t="s">
        <v>27</v>
      </c>
      <c r="J29" s="260" t="s">
        <v>141</v>
      </c>
      <c r="K29" s="334" t="s">
        <v>28</v>
      </c>
      <c r="L29" s="335" t="s">
        <v>27</v>
      </c>
      <c r="M29" s="336" t="s">
        <v>28</v>
      </c>
      <c r="N29" s="338" t="s">
        <v>142</v>
      </c>
    </row>
    <row r="30" spans="1:15" ht="15.75" x14ac:dyDescent="0.25">
      <c r="A30" s="709" t="s">
        <v>17</v>
      </c>
      <c r="B30" s="232" t="s">
        <v>6</v>
      </c>
      <c r="C30" s="271" t="s">
        <v>134</v>
      </c>
      <c r="D30" s="266">
        <f>D22</f>
        <v>2287.7114634175</v>
      </c>
      <c r="E30" s="267">
        <f>D30*12</f>
        <v>27452.537561010002</v>
      </c>
      <c r="F30" s="278"/>
      <c r="G30" s="265">
        <f>F30+E30</f>
        <v>27452.537561010002</v>
      </c>
      <c r="H30" s="331">
        <f>IF($E$7&lt;$B$11,(G30-$E13)/$E13,0)</f>
        <v>-47.015496051833104</v>
      </c>
      <c r="I30" s="266">
        <f>I22</f>
        <v>27.356849999999998</v>
      </c>
      <c r="J30" s="278"/>
      <c r="K30" s="310">
        <f>I30*2</f>
        <v>54.713699999999996</v>
      </c>
      <c r="L30" s="330" t="e">
        <f>IF($E$7&lt;$B$11,(I30-I13)/I13,0)</f>
        <v>#DIV/0!</v>
      </c>
      <c r="M30" s="331" t="e">
        <f>IF($E$7&lt;$B$11,(K30-$J$13)/$J$13,0)</f>
        <v>#DIV/0!</v>
      </c>
      <c r="N30" s="339">
        <f>IF($E$7&lt;$B$11,(G30+I30-E13-I13)/(E13+I13),0)</f>
        <v>-47.06135115795464</v>
      </c>
    </row>
    <row r="31" spans="1:15" ht="15.75" x14ac:dyDescent="0.25">
      <c r="A31" s="710"/>
      <c r="B31" s="199" t="s">
        <v>24</v>
      </c>
      <c r="C31" s="272" t="s">
        <v>134</v>
      </c>
      <c r="D31" s="220">
        <f>D23</f>
        <v>2287.7114634175</v>
      </c>
      <c r="E31" s="269">
        <f t="shared" ref="E31:E34" si="4">D31*12</f>
        <v>27452.537561010002</v>
      </c>
      <c r="F31" s="273"/>
      <c r="G31" s="221">
        <f>F31+E31</f>
        <v>27452.537561010002</v>
      </c>
      <c r="H31" s="327">
        <f>(G31-$E14)/$E14</f>
        <v>-47.015496051833104</v>
      </c>
      <c r="I31" s="220">
        <f>I23</f>
        <v>27.356849999999998</v>
      </c>
      <c r="J31" s="273"/>
      <c r="K31" s="223">
        <f>I31*2</f>
        <v>54.713699999999996</v>
      </c>
      <c r="L31" s="326" t="e">
        <f>(I31+J31-$I$14)/$I$14</f>
        <v>#DIV/0!</v>
      </c>
      <c r="M31" s="327" t="e">
        <f>(K31-$J$14)/$J$14</f>
        <v>#DIV/0!</v>
      </c>
      <c r="N31" s="340">
        <f>(G31+I31-E14-I14)/(E14+I14)</f>
        <v>-47.06135115795464</v>
      </c>
      <c r="O31" s="280"/>
    </row>
    <row r="32" spans="1:15" ht="15.75" x14ac:dyDescent="0.25">
      <c r="A32" s="711" t="s">
        <v>8</v>
      </c>
      <c r="B32" s="713" t="s">
        <v>24</v>
      </c>
      <c r="C32" s="234" t="s">
        <v>135</v>
      </c>
      <c r="D32" s="216">
        <f>D24</f>
        <v>2287.7114634175</v>
      </c>
      <c r="E32" s="218">
        <f t="shared" si="4"/>
        <v>27452.537561010002</v>
      </c>
      <c r="F32" s="274"/>
      <c r="G32" s="217">
        <f>F32+E32</f>
        <v>27452.537561010002</v>
      </c>
      <c r="H32" s="329">
        <f>(G32-$E15)/$E15</f>
        <v>-47.015496051833104</v>
      </c>
      <c r="I32" s="216">
        <f>I24</f>
        <v>27.356849999999998</v>
      </c>
      <c r="J32" s="274"/>
      <c r="K32" s="219">
        <f>I32*2</f>
        <v>54.713699999999996</v>
      </c>
      <c r="L32" s="328" t="e">
        <f>(I32+J32-$I$15)/$I$15</f>
        <v>#DIV/0!</v>
      </c>
      <c r="M32" s="329" t="e">
        <f>(K32-$J$15)/$J$15</f>
        <v>#DIV/0!</v>
      </c>
      <c r="N32" s="341">
        <f>(G32+I32-E15-I15)/(E15+I15)</f>
        <v>-47.06135115795464</v>
      </c>
      <c r="O32" s="280"/>
    </row>
    <row r="33" spans="1:19" ht="15.75" x14ac:dyDescent="0.25">
      <c r="A33" s="712"/>
      <c r="B33" s="714"/>
      <c r="C33" s="233" t="s">
        <v>136</v>
      </c>
      <c r="D33" s="220">
        <f>D25</f>
        <v>2287.7114634175</v>
      </c>
      <c r="E33" s="222">
        <f t="shared" si="4"/>
        <v>27452.537561010002</v>
      </c>
      <c r="F33" s="275"/>
      <c r="G33" s="221">
        <f t="shared" ref="G33" si="5">F33+E33</f>
        <v>27452.537561010002</v>
      </c>
      <c r="H33" s="327">
        <f>(G33-$E16)/$E16</f>
        <v>-47.015496051833104</v>
      </c>
      <c r="I33" s="220">
        <f>I25</f>
        <v>27.356849999999998</v>
      </c>
      <c r="J33" s="275"/>
      <c r="K33" s="223">
        <f>I33*2</f>
        <v>54.713699999999996</v>
      </c>
      <c r="L33" s="326" t="e">
        <f>(I33+J33-$I$16)/$I$16</f>
        <v>#DIV/0!</v>
      </c>
      <c r="M33" s="327" t="e">
        <f>(K33-$J$16)/$J$16</f>
        <v>#DIV/0!</v>
      </c>
      <c r="N33" s="340">
        <f>(G33+I33-E16-I16)/(E16+I16)</f>
        <v>-47.06135115795464</v>
      </c>
      <c r="O33" s="280"/>
    </row>
    <row r="34" spans="1:19" ht="15.75" x14ac:dyDescent="0.25">
      <c r="A34" s="230" t="s">
        <v>29</v>
      </c>
      <c r="B34" s="225" t="s">
        <v>24</v>
      </c>
      <c r="C34" s="235" t="s">
        <v>137</v>
      </c>
      <c r="D34" s="226">
        <f>D26</f>
        <v>0</v>
      </c>
      <c r="E34" s="228">
        <f t="shared" si="4"/>
        <v>0</v>
      </c>
      <c r="F34" s="276"/>
      <c r="G34" s="227">
        <f>E34+F34</f>
        <v>0</v>
      </c>
      <c r="H34" s="327">
        <f>IF($E$7&lt;$B$11,0,(G34-$E17)/$E17)</f>
        <v>0</v>
      </c>
      <c r="I34" s="226">
        <f>I26</f>
        <v>0</v>
      </c>
      <c r="J34" s="276"/>
      <c r="K34" s="223">
        <f>I34*2</f>
        <v>0</v>
      </c>
      <c r="L34" s="326">
        <f>IF($E$7&lt;$B$11,0,(I34+J34-$I$17)/$I$17)</f>
        <v>0</v>
      </c>
      <c r="M34" s="327">
        <f>IF($E$7&lt;$B$11,0,(K34-$J$17)/$J$17)</f>
        <v>0</v>
      </c>
      <c r="N34" s="340">
        <f>IF($E$7&lt;$B$11,0,(G34+I34-E17-I17)/(E17+I17))</f>
        <v>0</v>
      </c>
      <c r="O34" s="280"/>
    </row>
    <row r="35" spans="1:19" x14ac:dyDescent="0.25">
      <c r="A35" s="284"/>
      <c r="B35" s="285"/>
      <c r="C35" s="286"/>
      <c r="O35" s="280"/>
    </row>
    <row r="36" spans="1:19" ht="15.75" customHeight="1" x14ac:dyDescent="0.25"/>
    <row r="37" spans="1:19" s="17" customFormat="1" ht="10.5" customHeight="1" x14ac:dyDescent="0.3">
      <c r="A37" s="742" t="s">
        <v>145</v>
      </c>
      <c r="B37" s="742"/>
      <c r="C37" s="742"/>
      <c r="D37" s="346"/>
      <c r="E37" s="347"/>
      <c r="F37" s="348"/>
      <c r="G37" s="348"/>
      <c r="H37" s="348"/>
      <c r="I37" s="348"/>
      <c r="J37" s="348"/>
      <c r="K37" s="348"/>
      <c r="L37" s="348"/>
      <c r="M37" s="348"/>
      <c r="N37" s="348"/>
    </row>
    <row r="38" spans="1:19" s="17" customFormat="1" ht="21" customHeight="1" x14ac:dyDescent="0.3">
      <c r="A38" s="742"/>
      <c r="B38" s="742"/>
      <c r="C38" s="742"/>
      <c r="D38" s="346"/>
      <c r="E38" s="728" t="s">
        <v>146</v>
      </c>
      <c r="F38" s="728"/>
      <c r="G38" s="728"/>
      <c r="H38" s="728"/>
      <c r="I38" s="728"/>
      <c r="J38" s="728"/>
      <c r="K38" s="728"/>
      <c r="L38" s="728"/>
      <c r="M38" s="348"/>
      <c r="N38" s="348"/>
    </row>
    <row r="39" spans="1:19" s="17" customFormat="1" ht="11.25" customHeight="1" x14ac:dyDescent="0.3">
      <c r="A39" s="742"/>
      <c r="B39" s="742"/>
      <c r="C39" s="742"/>
      <c r="D39" s="346"/>
      <c r="E39" s="347"/>
      <c r="F39" s="348"/>
      <c r="G39" s="348"/>
      <c r="H39" s="348"/>
      <c r="I39" s="348"/>
      <c r="J39" s="348"/>
      <c r="K39" s="348"/>
      <c r="L39" s="348"/>
      <c r="M39" s="348"/>
      <c r="N39" s="348"/>
    </row>
    <row r="41" spans="1:19" ht="15.6" customHeight="1" x14ac:dyDescent="0.25">
      <c r="D41" s="627" t="s">
        <v>31</v>
      </c>
      <c r="E41" s="627"/>
      <c r="F41" s="627"/>
      <c r="G41" s="627"/>
      <c r="H41" s="627"/>
      <c r="I41" s="627"/>
      <c r="J41" s="627"/>
      <c r="K41" s="627"/>
      <c r="L41" s="627"/>
      <c r="M41" s="627"/>
      <c r="N41" s="628"/>
    </row>
    <row r="42" spans="1:19" ht="26.45" customHeight="1" x14ac:dyDescent="0.25">
      <c r="D42" s="629"/>
      <c r="E42" s="629"/>
      <c r="F42" s="629"/>
      <c r="G42" s="629"/>
      <c r="H42" s="629"/>
      <c r="I42" s="629"/>
      <c r="J42" s="629"/>
      <c r="K42" s="629"/>
      <c r="L42" s="629"/>
      <c r="M42" s="629"/>
      <c r="N42" s="630"/>
    </row>
    <row r="43" spans="1:19" ht="20.25" customHeight="1" x14ac:dyDescent="0.25">
      <c r="D43" s="631" t="s">
        <v>32</v>
      </c>
      <c r="E43" s="632"/>
      <c r="F43" s="624" t="s">
        <v>33</v>
      </c>
      <c r="G43" s="625"/>
      <c r="H43" s="626"/>
      <c r="I43" s="624" t="s">
        <v>34</v>
      </c>
      <c r="J43" s="625"/>
      <c r="K43" s="626"/>
      <c r="L43" s="633" t="s">
        <v>35</v>
      </c>
      <c r="M43" s="634"/>
      <c r="N43" s="635"/>
    </row>
    <row r="44" spans="1:19" ht="22.5" customHeight="1" x14ac:dyDescent="0.25">
      <c r="D44" s="177" t="s">
        <v>36</v>
      </c>
      <c r="E44" s="178" t="s">
        <v>37</v>
      </c>
      <c r="F44" s="174" t="s">
        <v>38</v>
      </c>
      <c r="G44" s="174" t="s">
        <v>27</v>
      </c>
      <c r="H44" s="175" t="s">
        <v>39</v>
      </c>
      <c r="I44" s="176" t="s">
        <v>38</v>
      </c>
      <c r="J44" s="174" t="s">
        <v>27</v>
      </c>
      <c r="K44" s="175" t="s">
        <v>39</v>
      </c>
      <c r="L44" s="296" t="s">
        <v>38</v>
      </c>
      <c r="M44" s="297" t="s">
        <v>27</v>
      </c>
      <c r="N44" s="298" t="s">
        <v>39</v>
      </c>
    </row>
    <row r="45" spans="1:19" ht="15.95" customHeight="1" x14ac:dyDescent="0.25">
      <c r="A45" s="736" t="s">
        <v>147</v>
      </c>
      <c r="B45" s="737"/>
      <c r="C45" s="738"/>
      <c r="D45" s="236">
        <f>A7</f>
        <v>3000</v>
      </c>
      <c r="E45" s="237">
        <f>'Amadeus France'!M10</f>
        <v>-49.71611</v>
      </c>
      <c r="F45" s="236">
        <f>'Amadeus France'!P18</f>
        <v>34.619999999999997</v>
      </c>
      <c r="G45" s="236">
        <f>'Amadeus France'!Q18</f>
        <v>155.63</v>
      </c>
      <c r="H45" s="238">
        <f>G45+F45</f>
        <v>190.25</v>
      </c>
      <c r="I45" s="239">
        <f>'Amadeus France'!P19</f>
        <v>0</v>
      </c>
      <c r="J45" s="236">
        <f>'Amadeus France'!Q19</f>
        <v>0</v>
      </c>
      <c r="K45" s="238">
        <f>J45+I45</f>
        <v>0</v>
      </c>
      <c r="L45" s="239">
        <f>'Amadeus France'!P27</f>
        <v>0</v>
      </c>
      <c r="M45" s="236">
        <f>'Amadeus France'!Q27</f>
        <v>0</v>
      </c>
      <c r="N45" s="238">
        <f>M45+L45</f>
        <v>0</v>
      </c>
    </row>
    <row r="46" spans="1:19" ht="15.95" customHeight="1" x14ac:dyDescent="0.25">
      <c r="A46" s="715" t="s">
        <v>148</v>
      </c>
      <c r="B46" s="716"/>
      <c r="C46" s="717"/>
      <c r="D46" s="155">
        <f>A7</f>
        <v>3000</v>
      </c>
      <c r="E46" s="179">
        <f>'Amadeus France'!D10</f>
        <v>-49.71611</v>
      </c>
      <c r="F46" s="155">
        <f>'Amadeus France'!G18</f>
        <v>34.619999999999997</v>
      </c>
      <c r="G46" s="155">
        <f>'Amadeus France'!H18</f>
        <v>155.63</v>
      </c>
      <c r="H46" s="157">
        <f>G46+F46</f>
        <v>190.25</v>
      </c>
      <c r="I46" s="156">
        <f>'Amadeus France'!G19</f>
        <v>0</v>
      </c>
      <c r="J46" s="155">
        <f>'Amadeus France'!H19</f>
        <v>0</v>
      </c>
      <c r="K46" s="157">
        <f>J46+I46</f>
        <v>0</v>
      </c>
      <c r="L46" s="156">
        <f>'Amadeus France'!G27</f>
        <v>0</v>
      </c>
      <c r="M46" s="155">
        <f>'Amadeus France'!H27</f>
        <v>0</v>
      </c>
      <c r="N46" s="157">
        <f>M46+L46</f>
        <v>0</v>
      </c>
    </row>
    <row r="47" spans="1:19" s="27" customFormat="1" ht="18.75" x14ac:dyDescent="0.3">
      <c r="A47" s="734" t="s">
        <v>149</v>
      </c>
      <c r="B47" s="735"/>
      <c r="C47" s="735"/>
      <c r="D47" s="162">
        <f>'Amadeus sas'!B19</f>
        <v>1.8499999999999999</v>
      </c>
      <c r="E47" s="164">
        <f>'Amadeus sas'!D10</f>
        <v>-64.858936617500007</v>
      </c>
      <c r="F47" s="171">
        <f>'Amadeus sas'!G18</f>
        <v>59.512479999999996</v>
      </c>
      <c r="G47" s="171">
        <f>'Amadeus sas'!H18</f>
        <v>71.78</v>
      </c>
      <c r="H47" s="172">
        <f>G47+F47</f>
        <v>131.29248000000001</v>
      </c>
      <c r="I47" s="173">
        <f>'Amadeus sas'!G19</f>
        <v>8.602499999999999E-3</v>
      </c>
      <c r="J47" s="171">
        <f>'Amadeus sas'!H19</f>
        <v>8.602499999999999E-3</v>
      </c>
      <c r="K47" s="172">
        <f>J47+I47</f>
        <v>1.7204999999999998E-2</v>
      </c>
      <c r="L47" s="162">
        <f>'Amadeus sas'!G27</f>
        <v>1.6649999999999998E-2</v>
      </c>
      <c r="M47" s="163">
        <f>'Amadeus sas'!H27</f>
        <v>1.6649999999999998E-2</v>
      </c>
      <c r="N47" s="164">
        <f>M47+L47</f>
        <v>3.3299999999999996E-2</v>
      </c>
      <c r="O47"/>
      <c r="P47"/>
      <c r="Q47" s="282"/>
      <c r="S47" s="283"/>
    </row>
    <row r="48" spans="1:19" ht="18.75" x14ac:dyDescent="0.3">
      <c r="A48" s="652" t="s">
        <v>150</v>
      </c>
      <c r="B48" s="652"/>
      <c r="C48" s="652"/>
      <c r="D48" s="180"/>
      <c r="E48" s="181">
        <f>E47-E45</f>
        <v>-15.142826617500006</v>
      </c>
      <c r="F48" s="166">
        <f t="shared" ref="F48:N48" si="6">F47-F45</f>
        <v>24.892479999999999</v>
      </c>
      <c r="G48" s="167">
        <f t="shared" si="6"/>
        <v>-83.85</v>
      </c>
      <c r="H48" s="168">
        <f t="shared" si="6"/>
        <v>-58.957519999999988</v>
      </c>
      <c r="I48" s="166">
        <f t="shared" si="6"/>
        <v>8.602499999999999E-3</v>
      </c>
      <c r="J48" s="167">
        <f t="shared" si="6"/>
        <v>8.602499999999999E-3</v>
      </c>
      <c r="K48" s="168">
        <f t="shared" si="6"/>
        <v>1.7204999999999998E-2</v>
      </c>
      <c r="L48" s="299">
        <f t="shared" si="6"/>
        <v>1.6649999999999998E-2</v>
      </c>
      <c r="M48" s="300">
        <f t="shared" si="6"/>
        <v>1.6649999999999998E-2</v>
      </c>
      <c r="N48" s="301">
        <f t="shared" si="6"/>
        <v>3.3299999999999996E-2</v>
      </c>
      <c r="Q48" s="281"/>
      <c r="S48" s="280"/>
    </row>
    <row r="49" spans="1:16" ht="18.75" x14ac:dyDescent="0.3">
      <c r="A49" s="652" t="s">
        <v>151</v>
      </c>
      <c r="B49" s="652"/>
      <c r="C49" s="652"/>
      <c r="D49" s="182"/>
      <c r="E49" s="183">
        <f t="shared" ref="E49:N49" si="7">E47-E46</f>
        <v>-15.142826617500006</v>
      </c>
      <c r="F49" s="169">
        <f t="shared" si="7"/>
        <v>24.892479999999999</v>
      </c>
      <c r="G49" s="170">
        <f t="shared" si="7"/>
        <v>-83.85</v>
      </c>
      <c r="H49" s="165">
        <f t="shared" si="7"/>
        <v>-58.957519999999988</v>
      </c>
      <c r="I49" s="169">
        <f t="shared" si="7"/>
        <v>8.602499999999999E-3</v>
      </c>
      <c r="J49" s="170">
        <f t="shared" si="7"/>
        <v>8.602499999999999E-3</v>
      </c>
      <c r="K49" s="165">
        <f t="shared" si="7"/>
        <v>1.7204999999999998E-2</v>
      </c>
      <c r="L49" s="302">
        <f t="shared" si="7"/>
        <v>1.6649999999999998E-2</v>
      </c>
      <c r="M49" s="303">
        <f t="shared" si="7"/>
        <v>1.6649999999999998E-2</v>
      </c>
      <c r="N49" s="304">
        <f t="shared" si="7"/>
        <v>3.3299999999999996E-2</v>
      </c>
    </row>
    <row r="51" spans="1:16" x14ac:dyDescent="0.25">
      <c r="D51" s="722" t="s">
        <v>152</v>
      </c>
      <c r="E51" s="723"/>
      <c r="F51" s="723"/>
      <c r="G51" s="723"/>
      <c r="H51" s="723"/>
      <c r="I51" s="723"/>
      <c r="J51" s="723"/>
      <c r="K51" s="723"/>
      <c r="L51" s="723"/>
      <c r="M51" s="723"/>
      <c r="N51" s="724"/>
    </row>
    <row r="52" spans="1:16" x14ac:dyDescent="0.25">
      <c r="D52" s="725"/>
      <c r="E52" s="726"/>
      <c r="F52" s="726"/>
      <c r="G52" s="726"/>
      <c r="H52" s="726"/>
      <c r="I52" s="726"/>
      <c r="J52" s="726"/>
      <c r="K52" s="726"/>
      <c r="L52" s="726"/>
      <c r="M52" s="726"/>
      <c r="N52" s="727"/>
    </row>
    <row r="53" spans="1:16" ht="18.75" x14ac:dyDescent="0.3">
      <c r="D53" s="631" t="s">
        <v>32</v>
      </c>
      <c r="E53" s="632"/>
      <c r="F53" s="625" t="s">
        <v>33</v>
      </c>
      <c r="G53" s="625"/>
      <c r="H53" s="626"/>
      <c r="I53" s="624" t="s">
        <v>34</v>
      </c>
      <c r="J53" s="625"/>
      <c r="K53" s="626"/>
      <c r="L53" s="633" t="s">
        <v>35</v>
      </c>
      <c r="M53" s="634"/>
      <c r="N53" s="635"/>
      <c r="O53" s="705">
        <f>$B$11</f>
        <v>45000</v>
      </c>
      <c r="P53" s="706"/>
    </row>
    <row r="54" spans="1:16" ht="21" customHeight="1" x14ac:dyDescent="0.25">
      <c r="D54" s="177" t="s">
        <v>36</v>
      </c>
      <c r="E54" s="178" t="s">
        <v>37</v>
      </c>
      <c r="F54" s="174" t="s">
        <v>38</v>
      </c>
      <c r="G54" s="174" t="s">
        <v>27</v>
      </c>
      <c r="H54" s="175" t="s">
        <v>39</v>
      </c>
      <c r="I54" s="176" t="s">
        <v>38</v>
      </c>
      <c r="J54" s="174" t="s">
        <v>27</v>
      </c>
      <c r="K54" s="175" t="s">
        <v>39</v>
      </c>
      <c r="L54" s="296" t="s">
        <v>38</v>
      </c>
      <c r="M54" s="297" t="s">
        <v>27</v>
      </c>
      <c r="N54" s="298" t="s">
        <v>39</v>
      </c>
      <c r="O54" s="287" t="s">
        <v>153</v>
      </c>
      <c r="P54" s="241" t="s">
        <v>154</v>
      </c>
    </row>
    <row r="55" spans="1:16" ht="15.75" x14ac:dyDescent="0.25">
      <c r="A55" s="721" t="s">
        <v>155</v>
      </c>
      <c r="B55" s="232" t="s">
        <v>6</v>
      </c>
      <c r="C55" s="357" t="s">
        <v>134</v>
      </c>
      <c r="D55" s="239">
        <f>IF($E$7&lt;$B$11,'Proposition 1a'!C9,0)</f>
        <v>3037.8</v>
      </c>
      <c r="E55" s="237">
        <f>IF($E$7&lt;$B$11,'Proposition 1a'!D9,0)</f>
        <v>2287.7114634175</v>
      </c>
      <c r="F55" s="236">
        <f>IF($E$7&lt;$B$11,'Proposition 1a'!G17,0)</f>
        <v>59.510080000000002</v>
      </c>
      <c r="G55" s="236">
        <f>IF($E$7&lt;$B$11,'Proposition 1a'!H17,0)</f>
        <v>71.78</v>
      </c>
      <c r="H55" s="238">
        <f>G55+F55</f>
        <v>131.29007999999999</v>
      </c>
      <c r="I55" s="239">
        <f>IF($E$7&lt;$B$11,'Proposition 1a'!G18,0)</f>
        <v>14.1343725</v>
      </c>
      <c r="J55" s="236">
        <f>IF($E$7&lt;$B$11,'Proposition 1a'!H18,0)</f>
        <v>14.1343725</v>
      </c>
      <c r="K55" s="238">
        <f>J55+I55</f>
        <v>28.268744999999999</v>
      </c>
      <c r="L55" s="239">
        <f>IF($E$7&lt;$B$11,'Proposition 1a'!G26,0)</f>
        <v>27.356849999999998</v>
      </c>
      <c r="M55" s="236">
        <f>IF($E$7&lt;$B$11,'Proposition 1a'!H26,0)</f>
        <v>27.356849999999998</v>
      </c>
      <c r="N55" s="238">
        <f>M55+L55</f>
        <v>54.713699999999996</v>
      </c>
      <c r="O55" s="350">
        <v>1.26E-2</v>
      </c>
      <c r="P55" s="242"/>
    </row>
    <row r="56" spans="1:16" ht="15.75" x14ac:dyDescent="0.25">
      <c r="A56" s="710"/>
      <c r="B56" s="199" t="s">
        <v>24</v>
      </c>
      <c r="C56" s="358" t="s">
        <v>134</v>
      </c>
      <c r="D56" s="156">
        <f>IF($E$7&lt;$B$11,'Proposition 1a'!C9, 'Proposition 1a'!C44)</f>
        <v>3037.8</v>
      </c>
      <c r="E56" s="179">
        <f>IF($E$7&lt;$B$11,'Proposition 1a'!D9, 'Proposition 1a'!D44)</f>
        <v>2287.7114634175</v>
      </c>
      <c r="F56" s="155">
        <f>'Proposition 1a'!G17</f>
        <v>59.510080000000002</v>
      </c>
      <c r="G56" s="224">
        <f>'Proposition 1a'!H17</f>
        <v>71.78</v>
      </c>
      <c r="H56" s="157">
        <f>G56+F56</f>
        <v>131.29007999999999</v>
      </c>
      <c r="I56" s="155">
        <f>IF($E$7&lt;$B$11,'Proposition 1a'!G18, 'Proposition 1a'!G52)</f>
        <v>14.1343725</v>
      </c>
      <c r="J56" s="155">
        <f>IF($E$7&lt;$B$11,'Proposition 1a'!H18, 'Proposition 1a'!H52)</f>
        <v>14.1343725</v>
      </c>
      <c r="K56" s="157">
        <f>J56+I56</f>
        <v>28.268744999999999</v>
      </c>
      <c r="L56" s="155">
        <f>IF($E$7&lt;$B$11,'Proposition 1a'!G26, 'Proposition 1a'!G61)</f>
        <v>27.356849999999998</v>
      </c>
      <c r="M56" s="155">
        <f>IF($E$7&lt;$B$11,'Proposition 1a'!H26, 'Proposition 1a'!H61)</f>
        <v>27.356849999999998</v>
      </c>
      <c r="N56" s="157">
        <f>M56+L56</f>
        <v>54.713699999999996</v>
      </c>
      <c r="O56" s="351">
        <v>1.26E-2</v>
      </c>
      <c r="P56" s="242"/>
    </row>
    <row r="57" spans="1:16" ht="15.75" x14ac:dyDescent="0.25">
      <c r="A57" s="711" t="s">
        <v>8</v>
      </c>
      <c r="B57" s="713" t="s">
        <v>24</v>
      </c>
      <c r="C57" s="359" t="s">
        <v>135</v>
      </c>
      <c r="D57" s="216">
        <f t="shared" ref="D57:G58" si="8">D56</f>
        <v>3037.8</v>
      </c>
      <c r="E57" s="217">
        <f t="shared" si="8"/>
        <v>2287.7114634175</v>
      </c>
      <c r="F57" s="216">
        <f t="shared" si="8"/>
        <v>59.510080000000002</v>
      </c>
      <c r="G57" s="218">
        <f t="shared" si="8"/>
        <v>71.78</v>
      </c>
      <c r="H57" s="219">
        <f>G57+F57</f>
        <v>131.29007999999999</v>
      </c>
      <c r="I57" s="216">
        <f>I56</f>
        <v>14.1343725</v>
      </c>
      <c r="J57" s="218">
        <f>J56</f>
        <v>14.1343725</v>
      </c>
      <c r="K57" s="219">
        <f>J57+I57</f>
        <v>28.268744999999999</v>
      </c>
      <c r="L57" s="218">
        <f>L56</f>
        <v>27.356849999999998</v>
      </c>
      <c r="M57" s="218">
        <f>M56</f>
        <v>27.356849999999998</v>
      </c>
      <c r="N57" s="219">
        <f>M57+L57</f>
        <v>54.713699999999996</v>
      </c>
      <c r="O57" s="351">
        <v>1.26E-2</v>
      </c>
      <c r="P57" s="242"/>
    </row>
    <row r="58" spans="1:16" ht="15.75" x14ac:dyDescent="0.25">
      <c r="A58" s="712"/>
      <c r="B58" s="714"/>
      <c r="C58" s="360" t="s">
        <v>136</v>
      </c>
      <c r="D58" s="220">
        <f t="shared" si="8"/>
        <v>3037.8</v>
      </c>
      <c r="E58" s="221">
        <f t="shared" si="8"/>
        <v>2287.7114634175</v>
      </c>
      <c r="F58" s="220">
        <f t="shared" si="8"/>
        <v>59.510080000000002</v>
      </c>
      <c r="G58" s="222">
        <f t="shared" si="8"/>
        <v>71.78</v>
      </c>
      <c r="H58" s="223">
        <f>G58+F58</f>
        <v>131.29007999999999</v>
      </c>
      <c r="I58" s="220">
        <f>I57</f>
        <v>14.1343725</v>
      </c>
      <c r="J58" s="222">
        <f>J57</f>
        <v>14.1343725</v>
      </c>
      <c r="K58" s="223">
        <f>J58+I58</f>
        <v>28.268744999999999</v>
      </c>
      <c r="L58" s="222">
        <f>L57</f>
        <v>27.356849999999998</v>
      </c>
      <c r="M58" s="222">
        <f>M57</f>
        <v>27.356849999999998</v>
      </c>
      <c r="N58" s="223">
        <f>M58+L58</f>
        <v>54.713699999999996</v>
      </c>
      <c r="O58" s="352">
        <v>1.26E-2</v>
      </c>
      <c r="P58" s="242"/>
    </row>
    <row r="59" spans="1:16" ht="15.75" x14ac:dyDescent="0.25">
      <c r="A59" s="230" t="s">
        <v>29</v>
      </c>
      <c r="B59" s="225" t="s">
        <v>24</v>
      </c>
      <c r="C59" s="361" t="s">
        <v>137</v>
      </c>
      <c r="D59" s="226">
        <f>IF($E$7&lt;$B$11,0,D57)</f>
        <v>0</v>
      </c>
      <c r="E59" s="227">
        <f>IF($E$7&lt;$B$11,0,E57)</f>
        <v>0</v>
      </c>
      <c r="F59" s="228">
        <f>IF($E$7&lt;$B$11,0,F57)</f>
        <v>0</v>
      </c>
      <c r="G59" s="228">
        <f>IF($E$7&lt;$B$11,0,G57)</f>
        <v>0</v>
      </c>
      <c r="H59" s="229">
        <f>G59+F59</f>
        <v>0</v>
      </c>
      <c r="I59" s="228">
        <f>IF($E$7&lt;$B$11,0,I57)</f>
        <v>0</v>
      </c>
      <c r="J59" s="228">
        <f>IF($E$7&lt;$B$11,0,J57)</f>
        <v>0</v>
      </c>
      <c r="K59" s="229">
        <f>J59+I59</f>
        <v>0</v>
      </c>
      <c r="L59" s="228">
        <f>IF($E$7&lt;$B$11,0,L57)</f>
        <v>0</v>
      </c>
      <c r="M59" s="228">
        <f>IF($E$7&lt;$B$11,0,M57)</f>
        <v>0</v>
      </c>
      <c r="N59" s="229">
        <f>M59+L59</f>
        <v>0</v>
      </c>
      <c r="O59" s="243"/>
      <c r="P59" s="244"/>
    </row>
    <row r="60" spans="1:16" ht="18.75" x14ac:dyDescent="0.3">
      <c r="A60" s="646" t="s">
        <v>150</v>
      </c>
      <c r="B60" s="646"/>
      <c r="C60" s="646"/>
      <c r="D60" s="195">
        <f t="shared" ref="D60:N60" si="9">IF($E$7&lt;$B$11,D55-D45,0)</f>
        <v>37.800000000000182</v>
      </c>
      <c r="E60" s="181">
        <f t="shared" si="9"/>
        <v>2337.4275734174998</v>
      </c>
      <c r="F60" s="166">
        <f t="shared" si="9"/>
        <v>24.890080000000005</v>
      </c>
      <c r="G60" s="167">
        <f t="shared" si="9"/>
        <v>-83.85</v>
      </c>
      <c r="H60" s="168">
        <f t="shared" si="9"/>
        <v>-58.959920000000011</v>
      </c>
      <c r="I60" s="166">
        <f t="shared" si="9"/>
        <v>14.1343725</v>
      </c>
      <c r="J60" s="167">
        <f t="shared" si="9"/>
        <v>14.1343725</v>
      </c>
      <c r="K60" s="168">
        <f t="shared" si="9"/>
        <v>28.268744999999999</v>
      </c>
      <c r="L60" s="299">
        <f t="shared" si="9"/>
        <v>27.356849999999998</v>
      </c>
      <c r="M60" s="306">
        <f t="shared" si="9"/>
        <v>27.356849999999998</v>
      </c>
      <c r="N60" s="301">
        <f t="shared" si="9"/>
        <v>54.713699999999996</v>
      </c>
      <c r="O60" s="196"/>
    </row>
    <row r="61" spans="1:16" ht="18.75" x14ac:dyDescent="0.3">
      <c r="A61" s="652" t="s">
        <v>151</v>
      </c>
      <c r="B61" s="652"/>
      <c r="C61" s="652"/>
      <c r="D61" s="362">
        <f t="shared" ref="D61:N61" si="10">D56-D46</f>
        <v>37.800000000000182</v>
      </c>
      <c r="E61" s="183">
        <f t="shared" si="10"/>
        <v>2337.4275734174998</v>
      </c>
      <c r="F61" s="169">
        <f t="shared" si="10"/>
        <v>24.890080000000005</v>
      </c>
      <c r="G61" s="170">
        <f t="shared" si="10"/>
        <v>-83.85</v>
      </c>
      <c r="H61" s="165">
        <f t="shared" si="10"/>
        <v>-58.959920000000011</v>
      </c>
      <c r="I61" s="169">
        <f t="shared" si="10"/>
        <v>14.1343725</v>
      </c>
      <c r="J61" s="170">
        <f t="shared" si="10"/>
        <v>14.1343725</v>
      </c>
      <c r="K61" s="165">
        <f t="shared" si="10"/>
        <v>28.268744999999999</v>
      </c>
      <c r="L61" s="302">
        <f t="shared" si="10"/>
        <v>27.356849999999998</v>
      </c>
      <c r="M61" s="363">
        <f t="shared" si="10"/>
        <v>27.356849999999998</v>
      </c>
      <c r="N61" s="304">
        <f t="shared" si="10"/>
        <v>54.713699999999996</v>
      </c>
    </row>
    <row r="63" spans="1:16" ht="18.75" x14ac:dyDescent="0.3">
      <c r="D63" s="631" t="s">
        <v>140</v>
      </c>
      <c r="E63" s="648"/>
      <c r="F63" s="718" t="s">
        <v>33</v>
      </c>
      <c r="G63" s="719"/>
      <c r="H63" s="720"/>
      <c r="I63" s="625" t="s">
        <v>34</v>
      </c>
      <c r="J63" s="625"/>
      <c r="K63" s="626"/>
      <c r="L63" s="633" t="s">
        <v>35</v>
      </c>
      <c r="M63" s="634"/>
      <c r="N63" s="635"/>
      <c r="O63" s="705">
        <f>$B$11</f>
        <v>45000</v>
      </c>
      <c r="P63" s="706"/>
    </row>
    <row r="64" spans="1:16" ht="21" x14ac:dyDescent="0.25">
      <c r="D64" s="177" t="s">
        <v>36</v>
      </c>
      <c r="E64" s="231" t="s">
        <v>37</v>
      </c>
      <c r="F64" s="259" t="s">
        <v>38</v>
      </c>
      <c r="G64" s="260" t="s">
        <v>27</v>
      </c>
      <c r="H64" s="261" t="s">
        <v>39</v>
      </c>
      <c r="I64" s="174" t="s">
        <v>38</v>
      </c>
      <c r="J64" s="174" t="s">
        <v>27</v>
      </c>
      <c r="K64" s="175" t="s">
        <v>39</v>
      </c>
      <c r="L64" s="296" t="s">
        <v>38</v>
      </c>
      <c r="M64" s="297" t="s">
        <v>27</v>
      </c>
      <c r="N64" s="305" t="s">
        <v>39</v>
      </c>
      <c r="O64" s="240" t="s">
        <v>153</v>
      </c>
      <c r="P64" s="241" t="s">
        <v>154</v>
      </c>
    </row>
    <row r="65" spans="1:16" ht="15.75" x14ac:dyDescent="0.25">
      <c r="A65" s="709" t="s">
        <v>17</v>
      </c>
      <c r="B65" s="232" t="s">
        <v>6</v>
      </c>
      <c r="C65" s="271" t="s">
        <v>134</v>
      </c>
      <c r="D65" s="322"/>
      <c r="E65" s="323"/>
      <c r="F65" s="322"/>
      <c r="G65" s="322"/>
      <c r="H65" s="325"/>
      <c r="I65" s="324"/>
      <c r="J65" s="322"/>
      <c r="K65" s="325"/>
      <c r="L65" s="324"/>
      <c r="M65" s="322"/>
      <c r="N65" s="325"/>
      <c r="O65" s="731" t="s">
        <v>156</v>
      </c>
      <c r="P65" s="732"/>
    </row>
    <row r="66" spans="1:16" ht="15.75" x14ac:dyDescent="0.25">
      <c r="A66" s="710"/>
      <c r="B66" s="199" t="s">
        <v>24</v>
      </c>
      <c r="C66" s="272" t="s">
        <v>134</v>
      </c>
      <c r="D66" s="155">
        <f>'Proposition 1a'!C112</f>
        <v>453.6</v>
      </c>
      <c r="E66" s="179">
        <f>'Proposition 1a'!D112</f>
        <v>350.5660131825</v>
      </c>
      <c r="F66" s="246"/>
      <c r="G66" s="247"/>
      <c r="H66" s="248"/>
      <c r="I66" s="155">
        <f>'Proposition 1a'!G121</f>
        <v>2.1973275000000001</v>
      </c>
      <c r="J66" s="155">
        <f>'Proposition 1a'!H121</f>
        <v>2.1973275000000001</v>
      </c>
      <c r="K66" s="157">
        <f>J66+I66</f>
        <v>4.3946550000000002</v>
      </c>
      <c r="L66" s="155">
        <f>'Proposition 1a'!G129</f>
        <v>5.5831500000000025</v>
      </c>
      <c r="M66" s="155">
        <f>'Proposition 1a'!H129</f>
        <v>5.5831500000000025</v>
      </c>
      <c r="N66" s="157">
        <f>M66+L66</f>
        <v>11.166300000000005</v>
      </c>
      <c r="O66" s="350">
        <v>1.26E-2</v>
      </c>
      <c r="P66" s="242"/>
    </row>
    <row r="67" spans="1:16" ht="15.75" x14ac:dyDescent="0.25">
      <c r="A67" s="711" t="s">
        <v>8</v>
      </c>
      <c r="B67" s="713" t="s">
        <v>24</v>
      </c>
      <c r="C67" s="234" t="s">
        <v>135</v>
      </c>
      <c r="D67" s="218">
        <f>'Proposition 1a'!K78</f>
        <v>824.4</v>
      </c>
      <c r="E67" s="217">
        <f>'Proposition 1a'!L78</f>
        <v>640.344681315</v>
      </c>
      <c r="F67" s="249"/>
      <c r="G67" s="250"/>
      <c r="H67" s="251"/>
      <c r="I67" s="216">
        <f>'Proposition 1a'!O87</f>
        <v>3.2764950000000002</v>
      </c>
      <c r="J67" s="218">
        <f>'Proposition 1a'!P87</f>
        <v>5.8396049999999997</v>
      </c>
      <c r="K67" s="219">
        <f>J67+I67</f>
        <v>9.1160999999999994</v>
      </c>
      <c r="L67" s="216">
        <f>'Proposition 1a'!O95</f>
        <v>8.2439999999999998</v>
      </c>
      <c r="M67" s="218">
        <f>'Proposition 1a'!P95</f>
        <v>41.22</v>
      </c>
      <c r="N67" s="219">
        <f>M67+L67</f>
        <v>49.463999999999999</v>
      </c>
      <c r="O67" s="353">
        <v>2.29E-2</v>
      </c>
      <c r="P67" s="355">
        <v>3.5499999999999997E-2</v>
      </c>
    </row>
    <row r="68" spans="1:16" ht="15.75" x14ac:dyDescent="0.25">
      <c r="A68" s="712"/>
      <c r="B68" s="714"/>
      <c r="C68" s="233" t="s">
        <v>136</v>
      </c>
      <c r="D68" s="222">
        <f>'Proposition 1a'!C78</f>
        <v>1094.4000000000001</v>
      </c>
      <c r="E68" s="221">
        <f>'Proposition 1a'!D78</f>
        <v>837.68391038250002</v>
      </c>
      <c r="F68" s="252"/>
      <c r="G68" s="253"/>
      <c r="H68" s="254"/>
      <c r="I68" s="220">
        <f>'Proposition 1a'!G87</f>
        <v>6.0421275000000003</v>
      </c>
      <c r="J68" s="222">
        <f>'Proposition 1a'!H87</f>
        <v>6.0421275000000003</v>
      </c>
      <c r="K68" s="223">
        <f>J68+I68</f>
        <v>12.084255000000001</v>
      </c>
      <c r="L68" s="220">
        <f>'Proposition 1a'!G95</f>
        <v>26.088750000000005</v>
      </c>
      <c r="M68" s="222">
        <f>'Proposition 1a'!H95</f>
        <v>26.088750000000005</v>
      </c>
      <c r="N68" s="223">
        <f>M68+L68</f>
        <v>52.177500000000009</v>
      </c>
      <c r="O68" s="354">
        <v>3.04E-2</v>
      </c>
      <c r="P68" s="356">
        <v>4.2999999999999997E-2</v>
      </c>
    </row>
    <row r="69" spans="1:16" ht="15.75" x14ac:dyDescent="0.25">
      <c r="A69" s="230" t="s">
        <v>29</v>
      </c>
      <c r="B69" s="225" t="s">
        <v>24</v>
      </c>
      <c r="C69" s="235" t="s">
        <v>137</v>
      </c>
      <c r="D69" s="228">
        <f>'Proposition 1a'!K112</f>
        <v>0</v>
      </c>
      <c r="E69" s="227">
        <f>'Proposition 1a'!L112</f>
        <v>0</v>
      </c>
      <c r="F69" s="255"/>
      <c r="G69" s="255"/>
      <c r="H69" s="256"/>
      <c r="I69" s="228">
        <f>'Proposition 1a'!O121</f>
        <v>0</v>
      </c>
      <c r="J69" s="228">
        <f>'Proposition 1a'!P121</f>
        <v>0</v>
      </c>
      <c r="K69" s="229">
        <f>J69+I69</f>
        <v>0</v>
      </c>
      <c r="L69" s="228">
        <f>'Proposition 1a'!O129</f>
        <v>0</v>
      </c>
      <c r="M69" s="228">
        <f>'Proposition 1a'!P129</f>
        <v>0</v>
      </c>
      <c r="N69" s="229">
        <f>M69+L69</f>
        <v>0</v>
      </c>
      <c r="O69" s="244"/>
      <c r="P69" s="352">
        <v>1.41E-2</v>
      </c>
    </row>
    <row r="71" spans="1:16" x14ac:dyDescent="0.25">
      <c r="D71" s="281"/>
    </row>
  </sheetData>
  <sheetProtection algorithmName="SHA-512" hashValue="0wGy+UyWcHT2QLDyk8IfDhI8J3UxCV9cT0D9Fv/0BAPb8qMOBdds0TLxS5+kgOaRF8bcxsJ0KWPnlSwZpu1kvQ==" saltValue="a3REzeEYZjyRwboew12hXA==" spinCount="100000" sheet="1" objects="1" scenarios="1"/>
  <mergeCells count="67">
    <mergeCell ref="A37:C39"/>
    <mergeCell ref="H11:H12"/>
    <mergeCell ref="H20:H21"/>
    <mergeCell ref="H28:H29"/>
    <mergeCell ref="L20:M20"/>
    <mergeCell ref="L28:M28"/>
    <mergeCell ref="I11:J11"/>
    <mergeCell ref="K11:L11"/>
    <mergeCell ref="I20:K20"/>
    <mergeCell ref="O65:P65"/>
    <mergeCell ref="M11:N11"/>
    <mergeCell ref="G3:H3"/>
    <mergeCell ref="D1:N1"/>
    <mergeCell ref="A48:C48"/>
    <mergeCell ref="A47:C47"/>
    <mergeCell ref="A45:C45"/>
    <mergeCell ref="I7:K7"/>
    <mergeCell ref="I6:K6"/>
    <mergeCell ref="D11:E11"/>
    <mergeCell ref="I43:K43"/>
    <mergeCell ref="L43:N43"/>
    <mergeCell ref="E6:G6"/>
    <mergeCell ref="A10:C10"/>
    <mergeCell ref="E7:G7"/>
    <mergeCell ref="D28:G28"/>
    <mergeCell ref="A5:C5"/>
    <mergeCell ref="D10:N10"/>
    <mergeCell ref="A55:A56"/>
    <mergeCell ref="D51:N52"/>
    <mergeCell ref="A65:A66"/>
    <mergeCell ref="A7:C7"/>
    <mergeCell ref="A6:C6"/>
    <mergeCell ref="D41:N42"/>
    <mergeCell ref="D43:E43"/>
    <mergeCell ref="F43:H43"/>
    <mergeCell ref="E38:L38"/>
    <mergeCell ref="B15:B16"/>
    <mergeCell ref="B11:C11"/>
    <mergeCell ref="D20:G20"/>
    <mergeCell ref="A13:A14"/>
    <mergeCell ref="A15:A16"/>
    <mergeCell ref="A67:A68"/>
    <mergeCell ref="F63:H63"/>
    <mergeCell ref="B57:B58"/>
    <mergeCell ref="A57:A58"/>
    <mergeCell ref="B67:B68"/>
    <mergeCell ref="I53:K53"/>
    <mergeCell ref="L53:N53"/>
    <mergeCell ref="A49:C49"/>
    <mergeCell ref="A46:C46"/>
    <mergeCell ref="D63:E63"/>
    <mergeCell ref="O53:P53"/>
    <mergeCell ref="O63:P63"/>
    <mergeCell ref="F11:G11"/>
    <mergeCell ref="A22:A23"/>
    <mergeCell ref="A24:A25"/>
    <mergeCell ref="B24:B25"/>
    <mergeCell ref="A30:A31"/>
    <mergeCell ref="A32:A33"/>
    <mergeCell ref="B32:B33"/>
    <mergeCell ref="I28:K28"/>
    <mergeCell ref="A60:C60"/>
    <mergeCell ref="A61:C61"/>
    <mergeCell ref="I63:K63"/>
    <mergeCell ref="L63:N63"/>
    <mergeCell ref="D53:E53"/>
    <mergeCell ref="F53:H53"/>
  </mergeCells>
  <conditionalFormatting sqref="H13:H34">
    <cfRule type="cellIs" dxfId="1" priority="2" operator="lessThan">
      <formula>0</formula>
    </cfRule>
  </conditionalFormatting>
  <conditionalFormatting sqref="L13:N34">
    <cfRule type="cellIs" dxfId="0" priority="1" operator="lessThan">
      <formula>0</formula>
    </cfRule>
  </conditionalFormatting>
  <hyperlinks>
    <hyperlink ref="H2" location="HELP_FR!A1" display="HELP FR" xr:uid="{41EC2CCE-8B7E-4ECE-A713-BCFC60D48431}"/>
  </hyperlinks>
  <pageMargins left="0.7" right="0.7" top="0.75" bottom="0.75" header="0.3" footer="0.3"/>
  <pageSetup orientation="portrait" r:id="rId1"/>
  <headerFooter>
    <oddHeader>&amp;R&amp;"Calibri"&amp;12&amp;KFF8C00CONFIDENTIAL &amp; RESTRICTED&amp;1#</oddHeader>
  </headerFooter>
  <ignoredErrors>
    <ignoredError sqref="E7" unlockedFormula="1"/>
    <ignoredError sqref="K57:K59 H57:H59 F15:F17" 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888DC-2FCF-43CD-98C8-7E479FBA5F94}">
  <dimension ref="A1:V62"/>
  <sheetViews>
    <sheetView topLeftCell="A44" zoomScaleNormal="100" workbookViewId="0">
      <selection activeCell="D44" sqref="D1:D1048576"/>
    </sheetView>
  </sheetViews>
  <sheetFormatPr defaultColWidth="9.140625" defaultRowHeight="15" x14ac:dyDescent="0.25"/>
  <cols>
    <col min="1" max="3" width="13.7109375" style="17" customWidth="1"/>
    <col min="4" max="4" width="15.140625" customWidth="1"/>
    <col min="5" max="5" width="20.5703125" customWidth="1"/>
    <col min="6" max="6" width="19.7109375" customWidth="1"/>
    <col min="7" max="7" width="8.28515625" customWidth="1"/>
    <col min="8" max="8" width="9" customWidth="1"/>
    <col min="9" max="9" width="14.5703125" customWidth="1"/>
    <col min="10" max="10" width="9.28515625" bestFit="1" customWidth="1"/>
    <col min="12" max="12" width="31.140625" hidden="1" customWidth="1"/>
    <col min="13" max="13" width="18.42578125" hidden="1" customWidth="1"/>
    <col min="14" max="14" width="14.140625" hidden="1" customWidth="1"/>
    <col min="15" max="15" width="0" hidden="1" customWidth="1"/>
  </cols>
  <sheetData>
    <row r="1" spans="1:20" s="17" customFormat="1" ht="18.600000000000001" customHeight="1" x14ac:dyDescent="0.25">
      <c r="D1" s="610" t="s">
        <v>157</v>
      </c>
      <c r="E1" s="610"/>
      <c r="F1" s="610"/>
      <c r="G1" s="610"/>
      <c r="H1" s="610"/>
      <c r="I1" s="610"/>
      <c r="J1" s="32"/>
      <c r="K1" s="32"/>
    </row>
    <row r="2" spans="1:20" s="17" customFormat="1" ht="39.6" customHeight="1" x14ac:dyDescent="0.25">
      <c r="D2" s="610"/>
      <c r="E2" s="610"/>
      <c r="F2" s="610"/>
      <c r="G2" s="610"/>
      <c r="H2" s="610"/>
      <c r="I2" s="610"/>
      <c r="J2" s="32"/>
      <c r="K2" s="32"/>
    </row>
    <row r="3" spans="1:20" s="17" customFormat="1" ht="18.600000000000001" customHeight="1" x14ac:dyDescent="0.25">
      <c r="D3" s="610"/>
      <c r="E3" s="610"/>
      <c r="F3" s="610"/>
      <c r="G3" s="610"/>
      <c r="H3" s="610"/>
      <c r="I3" s="610"/>
      <c r="J3" s="32"/>
      <c r="K3" s="32"/>
    </row>
    <row r="4" spans="1:20" s="17" customFormat="1" ht="32.1" customHeight="1" x14ac:dyDescent="0.25">
      <c r="D4" s="610"/>
      <c r="E4" s="610"/>
      <c r="F4" s="610"/>
      <c r="G4" s="610"/>
      <c r="H4" s="610"/>
      <c r="I4" s="610"/>
      <c r="J4" s="32"/>
      <c r="K4" s="32"/>
    </row>
    <row r="5" spans="1:20" s="17" customFormat="1" ht="26.25" x14ac:dyDescent="0.4">
      <c r="A5" s="545" t="s">
        <v>4</v>
      </c>
      <c r="B5" s="545"/>
      <c r="C5" s="545"/>
      <c r="D5" s="32"/>
      <c r="E5" s="32"/>
      <c r="F5" s="32"/>
      <c r="G5" s="32"/>
      <c r="I5" s="36" t="s">
        <v>158</v>
      </c>
      <c r="J5" s="32"/>
      <c r="K5" s="32"/>
    </row>
    <row r="6" spans="1:20" ht="15.75" x14ac:dyDescent="0.25">
      <c r="A6" s="747"/>
      <c r="B6" s="747"/>
      <c r="C6" s="747"/>
      <c r="D6" s="28"/>
      <c r="E6" s="28"/>
      <c r="G6" s="28"/>
      <c r="H6" s="28"/>
      <c r="I6" s="28"/>
      <c r="J6" s="28"/>
      <c r="K6" s="28"/>
      <c r="L6" s="28"/>
      <c r="M6" s="28"/>
      <c r="N6" s="28"/>
      <c r="O6" s="28"/>
      <c r="P6" s="28"/>
      <c r="Q6" s="28"/>
      <c r="R6" s="28"/>
      <c r="S6" s="28"/>
      <c r="T6" s="28"/>
    </row>
    <row r="7" spans="1:20" ht="18.75" x14ac:dyDescent="0.3">
      <c r="A7" s="606" t="str">
        <f>'Simulateur Fusion CFDT'!A6:C6</f>
        <v>Salaire mensuel de base (Brut)</v>
      </c>
      <c r="B7" s="606"/>
      <c r="C7" s="606"/>
      <c r="D7" s="27" t="s">
        <v>159</v>
      </c>
      <c r="E7" s="28"/>
      <c r="F7" s="28"/>
      <c r="G7" s="28"/>
      <c r="H7" s="28"/>
      <c r="I7" s="28"/>
      <c r="J7" s="28"/>
      <c r="K7" s="28"/>
      <c r="L7" s="28"/>
      <c r="M7" s="28"/>
      <c r="N7" s="28"/>
      <c r="O7" s="28"/>
      <c r="P7" s="28"/>
      <c r="Q7" s="28"/>
      <c r="R7" s="28"/>
      <c r="S7" s="28"/>
      <c r="T7" s="28"/>
    </row>
    <row r="8" spans="1:20" ht="18.75" x14ac:dyDescent="0.3">
      <c r="A8" s="744" t="s">
        <v>160</v>
      </c>
      <c r="B8" s="744"/>
      <c r="C8" s="744"/>
      <c r="D8" s="27"/>
      <c r="E8" s="28"/>
      <c r="F8" s="28"/>
      <c r="G8" s="28"/>
      <c r="H8" s="28"/>
      <c r="I8" s="28"/>
      <c r="J8" s="28"/>
      <c r="K8" s="28"/>
      <c r="L8" s="28"/>
      <c r="M8" s="28"/>
      <c r="N8" s="28"/>
      <c r="O8" s="28"/>
      <c r="P8" s="28"/>
      <c r="Q8" s="28"/>
      <c r="R8" s="28"/>
      <c r="S8" s="28"/>
      <c r="T8" s="28"/>
    </row>
    <row r="9" spans="1:20" ht="15.75" x14ac:dyDescent="0.25">
      <c r="A9" s="609" t="s">
        <v>161</v>
      </c>
      <c r="B9" s="609"/>
      <c r="C9" s="609"/>
      <c r="D9" s="28" t="s">
        <v>162</v>
      </c>
      <c r="E9" s="28"/>
      <c r="F9" s="28"/>
      <c r="G9" s="28"/>
      <c r="H9" s="28"/>
      <c r="I9" s="28"/>
      <c r="J9" s="28"/>
      <c r="K9" s="28"/>
      <c r="L9" s="28"/>
      <c r="M9" s="28"/>
      <c r="N9" s="28"/>
      <c r="O9" s="28"/>
      <c r="P9" s="28"/>
      <c r="Q9" s="28"/>
      <c r="R9" s="28"/>
      <c r="S9" s="28"/>
      <c r="T9" s="28"/>
    </row>
    <row r="10" spans="1:20" ht="15.75" x14ac:dyDescent="0.25">
      <c r="A10" s="747"/>
      <c r="B10" s="747"/>
      <c r="C10" s="747"/>
      <c r="D10" s="29" t="s">
        <v>163</v>
      </c>
      <c r="E10" s="28"/>
      <c r="F10" s="28" t="s">
        <v>164</v>
      </c>
      <c r="G10" s="28"/>
      <c r="H10" s="28"/>
      <c r="I10" s="28"/>
      <c r="J10" s="28"/>
      <c r="K10" s="28"/>
      <c r="L10" s="28"/>
      <c r="M10" s="28"/>
      <c r="N10" s="28"/>
      <c r="O10" s="28"/>
      <c r="P10" s="28"/>
      <c r="Q10" s="28"/>
      <c r="R10" s="28"/>
      <c r="S10" s="28"/>
      <c r="T10" s="28"/>
    </row>
    <row r="11" spans="1:20" ht="15.75" x14ac:dyDescent="0.25">
      <c r="A11" s="747"/>
      <c r="B11" s="747"/>
      <c r="C11" s="747"/>
      <c r="E11" s="28"/>
      <c r="F11" t="s">
        <v>165</v>
      </c>
      <c r="G11" s="28"/>
      <c r="H11" s="28"/>
      <c r="I11" s="28"/>
      <c r="J11" s="28"/>
      <c r="K11" s="28"/>
      <c r="L11" s="28"/>
      <c r="M11" s="28"/>
      <c r="N11" s="28"/>
      <c r="O11" s="28"/>
      <c r="P11" s="28"/>
      <c r="Q11" s="28"/>
      <c r="R11" s="28"/>
      <c r="S11" s="28"/>
      <c r="T11" s="28"/>
    </row>
    <row r="12" spans="1:20" ht="15.75" x14ac:dyDescent="0.25">
      <c r="A12" s="747"/>
      <c r="B12" s="747"/>
      <c r="C12" s="747"/>
      <c r="D12" s="28"/>
      <c r="E12" s="28"/>
      <c r="G12" s="28"/>
      <c r="H12" s="28"/>
      <c r="I12" s="28"/>
      <c r="J12" s="28"/>
      <c r="K12" s="28"/>
      <c r="L12" s="28"/>
      <c r="M12" s="28"/>
      <c r="N12" s="28"/>
      <c r="O12" s="28"/>
      <c r="P12" s="28"/>
      <c r="Q12" s="28"/>
      <c r="R12" s="28"/>
      <c r="S12" s="28"/>
      <c r="T12" s="28"/>
    </row>
    <row r="13" spans="1:20" ht="15.75" x14ac:dyDescent="0.25">
      <c r="A13" s="747"/>
      <c r="B13" s="747"/>
      <c r="C13" s="747"/>
      <c r="D13" s="28"/>
      <c r="E13" s="28"/>
      <c r="G13" s="28"/>
      <c r="H13" s="28"/>
      <c r="I13" s="28"/>
      <c r="J13" s="28"/>
      <c r="K13" s="28"/>
      <c r="L13" s="28"/>
      <c r="M13" s="28"/>
      <c r="N13" s="28"/>
      <c r="O13" s="28"/>
      <c r="P13" s="28"/>
      <c r="Q13" s="28"/>
      <c r="R13" s="28"/>
      <c r="S13" s="28"/>
      <c r="T13" s="28"/>
    </row>
    <row r="14" spans="1:20" ht="15.75" x14ac:dyDescent="0.25">
      <c r="A14" s="747"/>
      <c r="B14" s="747"/>
      <c r="C14" s="747"/>
      <c r="D14" s="28"/>
      <c r="E14" s="28"/>
      <c r="G14" s="28"/>
      <c r="H14" s="28"/>
      <c r="I14" s="28"/>
      <c r="J14" s="28"/>
      <c r="K14" s="28"/>
      <c r="L14" s="28"/>
      <c r="M14" s="28"/>
      <c r="N14" s="28"/>
      <c r="O14" s="28"/>
      <c r="P14" s="28"/>
      <c r="Q14" s="28"/>
      <c r="R14" s="28"/>
      <c r="S14" s="28"/>
      <c r="T14" s="28"/>
    </row>
    <row r="15" spans="1:20" ht="15.75" x14ac:dyDescent="0.25">
      <c r="A15" s="747"/>
      <c r="B15" s="747"/>
      <c r="C15" s="747"/>
      <c r="D15" s="28"/>
      <c r="E15" s="28"/>
      <c r="G15" s="28"/>
      <c r="H15" s="28"/>
      <c r="I15" s="28"/>
      <c r="J15" s="28"/>
      <c r="K15" s="28"/>
      <c r="L15" s="28"/>
      <c r="M15" s="28"/>
      <c r="N15" s="28"/>
      <c r="O15" s="28"/>
      <c r="P15" s="28"/>
      <c r="Q15" s="28"/>
      <c r="R15" s="28"/>
      <c r="S15" s="28"/>
      <c r="T15" s="28"/>
    </row>
    <row r="16" spans="1:20" ht="26.25" customHeight="1" x14ac:dyDescent="0.25">
      <c r="A16" s="747"/>
      <c r="B16" s="747"/>
      <c r="C16" s="747"/>
      <c r="D16" s="28"/>
      <c r="E16" s="28"/>
      <c r="F16" s="28"/>
      <c r="G16" s="28"/>
      <c r="H16" s="28"/>
      <c r="I16" s="28"/>
      <c r="J16" s="28"/>
      <c r="K16" s="28"/>
      <c r="L16" s="28"/>
      <c r="M16" s="28"/>
      <c r="N16" s="28"/>
      <c r="O16" s="28"/>
      <c r="P16" s="28"/>
      <c r="Q16" s="28"/>
      <c r="R16" s="28"/>
      <c r="S16" s="28"/>
      <c r="T16" s="28"/>
    </row>
    <row r="17" spans="1:22" ht="15.75" x14ac:dyDescent="0.25">
      <c r="A17" s="608"/>
      <c r="B17" s="608"/>
      <c r="C17" s="608"/>
      <c r="D17" s="28"/>
      <c r="E17" s="28"/>
      <c r="F17" s="28"/>
      <c r="G17" s="28"/>
      <c r="H17" s="28"/>
      <c r="I17" s="28"/>
      <c r="J17" s="28"/>
      <c r="K17" s="28"/>
      <c r="L17" s="28"/>
      <c r="M17" s="28"/>
      <c r="N17" s="28"/>
      <c r="O17" s="28"/>
      <c r="P17" s="28"/>
      <c r="Q17" s="28"/>
      <c r="R17" s="28"/>
      <c r="S17" s="28"/>
      <c r="T17" s="28"/>
    </row>
    <row r="18" spans="1:22" ht="15.75" x14ac:dyDescent="0.25">
      <c r="A18" s="608"/>
      <c r="B18" s="608"/>
      <c r="C18" s="608"/>
      <c r="D18" s="28"/>
      <c r="E18" s="28"/>
      <c r="F18" s="28"/>
      <c r="G18" s="28"/>
      <c r="H18" s="28"/>
      <c r="I18" s="28"/>
      <c r="J18" s="28"/>
      <c r="K18" s="28"/>
      <c r="L18" s="28"/>
      <c r="M18" s="28"/>
      <c r="N18" s="28"/>
      <c r="O18" s="28"/>
      <c r="P18" s="28"/>
      <c r="Q18" s="28"/>
      <c r="R18" s="28"/>
      <c r="S18" s="28"/>
      <c r="T18" s="28"/>
    </row>
    <row r="19" spans="1:22" ht="15.75" x14ac:dyDescent="0.25">
      <c r="A19" s="609" t="s">
        <v>166</v>
      </c>
      <c r="B19" s="609"/>
      <c r="C19" s="609"/>
      <c r="D19" s="28" t="s">
        <v>167</v>
      </c>
      <c r="E19" s="28"/>
      <c r="F19" s="28"/>
      <c r="G19" s="28"/>
      <c r="H19" s="28"/>
      <c r="I19" s="28"/>
      <c r="J19" s="28"/>
      <c r="K19" s="28"/>
      <c r="L19" s="28"/>
      <c r="M19" s="28"/>
      <c r="N19" s="28"/>
      <c r="O19" s="28"/>
      <c r="P19" s="28"/>
      <c r="R19" s="28"/>
      <c r="S19" s="28"/>
      <c r="T19" s="28"/>
    </row>
    <row r="20" spans="1:22" ht="15.75" x14ac:dyDescent="0.25">
      <c r="A20" s="608"/>
      <c r="B20" s="608"/>
      <c r="C20" s="608"/>
      <c r="D20" s="33" t="s">
        <v>168</v>
      </c>
      <c r="E20" s="28"/>
      <c r="F20" s="28" t="s">
        <v>169</v>
      </c>
      <c r="G20" s="28"/>
      <c r="H20" s="28"/>
      <c r="I20" s="28"/>
      <c r="J20" s="28"/>
      <c r="K20" s="28"/>
      <c r="L20" s="28"/>
      <c r="M20" s="28"/>
      <c r="N20" s="28"/>
      <c r="O20" s="28"/>
      <c r="P20" s="28"/>
      <c r="R20" s="28"/>
      <c r="S20" s="28"/>
      <c r="T20" s="28"/>
    </row>
    <row r="21" spans="1:22" ht="15.75" x14ac:dyDescent="0.25">
      <c r="A21" s="608"/>
      <c r="B21" s="608"/>
      <c r="C21" s="608"/>
      <c r="D21" s="28" t="s">
        <v>170</v>
      </c>
      <c r="E21" s="28"/>
      <c r="F21" s="28" t="s">
        <v>171</v>
      </c>
      <c r="G21" s="28"/>
      <c r="H21" s="28"/>
      <c r="I21" s="28"/>
      <c r="J21" s="28"/>
      <c r="K21" s="28"/>
      <c r="L21" s="28"/>
      <c r="M21" s="28"/>
      <c r="N21" s="28"/>
      <c r="O21" s="28"/>
      <c r="P21" s="28"/>
      <c r="R21" s="28"/>
      <c r="S21" s="28"/>
      <c r="T21" s="28"/>
    </row>
    <row r="22" spans="1:22" ht="15.75" x14ac:dyDescent="0.25">
      <c r="A22" s="450"/>
      <c r="B22" s="450"/>
      <c r="C22" s="450"/>
      <c r="D22" s="28"/>
      <c r="E22" s="28"/>
      <c r="F22" s="28" t="s">
        <v>172</v>
      </c>
      <c r="G22" s="28"/>
      <c r="H22" s="28"/>
      <c r="I22" s="28"/>
      <c r="J22" s="28"/>
      <c r="K22" s="28"/>
      <c r="L22" s="28"/>
      <c r="M22" s="28"/>
      <c r="N22" s="28"/>
      <c r="O22" s="28"/>
      <c r="P22" s="28"/>
      <c r="Q22" s="28"/>
      <c r="R22" s="28"/>
      <c r="S22" s="28"/>
      <c r="T22" s="28"/>
    </row>
    <row r="23" spans="1:22" ht="15.75" x14ac:dyDescent="0.25">
      <c r="A23" s="450"/>
      <c r="B23" s="450"/>
      <c r="C23" s="450"/>
      <c r="D23" s="28"/>
      <c r="E23" s="28"/>
      <c r="F23" s="28"/>
      <c r="G23" s="28"/>
      <c r="H23" s="28"/>
      <c r="I23" s="28"/>
      <c r="J23" s="28"/>
      <c r="K23" s="28"/>
      <c r="L23" s="28"/>
      <c r="M23" s="28"/>
      <c r="N23" s="28"/>
      <c r="O23" s="28"/>
      <c r="P23" s="28"/>
      <c r="Q23" s="28"/>
      <c r="R23" s="28"/>
      <c r="S23" s="28"/>
      <c r="T23" s="28"/>
    </row>
    <row r="24" spans="1:22" ht="15.75" x14ac:dyDescent="0.25">
      <c r="A24" s="450"/>
      <c r="B24" s="450"/>
      <c r="C24" s="450"/>
      <c r="D24" s="28"/>
      <c r="E24" s="28"/>
      <c r="F24" s="28"/>
      <c r="G24" s="28"/>
      <c r="H24" s="28"/>
      <c r="I24" s="28"/>
      <c r="J24" s="28"/>
      <c r="K24" s="28"/>
      <c r="L24" s="28"/>
      <c r="M24" s="28"/>
      <c r="N24" s="28"/>
      <c r="O24" s="28"/>
      <c r="P24" s="28"/>
      <c r="Q24" s="28"/>
      <c r="R24" s="28"/>
      <c r="S24" s="28"/>
      <c r="T24" s="28"/>
    </row>
    <row r="25" spans="1:22" ht="15.75" x14ac:dyDescent="0.25">
      <c r="A25" s="608"/>
      <c r="B25" s="608"/>
      <c r="C25" s="608"/>
      <c r="D25" s="28"/>
      <c r="E25" s="28"/>
      <c r="F25" s="28"/>
      <c r="G25" s="28"/>
      <c r="H25" s="28"/>
      <c r="I25" s="28"/>
      <c r="J25" s="28"/>
      <c r="K25" s="28"/>
      <c r="L25" s="28"/>
      <c r="M25" s="28"/>
      <c r="N25" s="28"/>
      <c r="O25" s="28"/>
      <c r="P25" s="28"/>
      <c r="Q25" s="28"/>
      <c r="R25" s="28"/>
      <c r="S25" s="28"/>
      <c r="T25" s="28"/>
    </row>
    <row r="26" spans="1:22" ht="15.75" x14ac:dyDescent="0.25">
      <c r="A26" s="608"/>
      <c r="B26" s="608"/>
      <c r="C26" s="608"/>
      <c r="D26" s="28"/>
      <c r="E26" s="28"/>
      <c r="F26" s="28"/>
      <c r="G26" s="28"/>
      <c r="H26" s="28"/>
      <c r="I26" s="28"/>
      <c r="J26" s="28"/>
      <c r="K26" s="28"/>
      <c r="L26" s="28"/>
      <c r="M26" s="28"/>
      <c r="N26" s="28"/>
      <c r="O26" s="28"/>
      <c r="P26" s="28"/>
      <c r="Q26" s="28"/>
      <c r="R26" s="28"/>
      <c r="S26" s="28"/>
      <c r="T26" s="28"/>
    </row>
    <row r="27" spans="1:22" ht="15.75" x14ac:dyDescent="0.25">
      <c r="A27" s="745" t="s">
        <v>173</v>
      </c>
      <c r="B27" s="745"/>
      <c r="C27" s="745"/>
      <c r="D27" s="28" t="s">
        <v>174</v>
      </c>
      <c r="E27" s="28"/>
      <c r="F27" s="28"/>
      <c r="G27" s="28"/>
      <c r="H27" s="28"/>
      <c r="I27" s="28"/>
      <c r="J27" s="28"/>
      <c r="K27" s="28"/>
      <c r="L27" s="28"/>
      <c r="M27" s="28"/>
      <c r="N27" s="28"/>
      <c r="O27" s="28"/>
      <c r="P27" s="28"/>
      <c r="Q27" s="28"/>
      <c r="R27" s="28"/>
      <c r="S27" s="28"/>
      <c r="T27" s="28"/>
    </row>
    <row r="28" spans="1:22" ht="15.75" x14ac:dyDescent="0.25">
      <c r="A28" s="608"/>
      <c r="B28" s="608"/>
      <c r="C28" s="608"/>
      <c r="D28" s="33" t="s">
        <v>168</v>
      </c>
      <c r="E28" s="28"/>
      <c r="F28" s="28" t="s">
        <v>175</v>
      </c>
      <c r="G28" s="28"/>
      <c r="H28" s="28"/>
      <c r="I28" s="28"/>
      <c r="J28" s="28"/>
      <c r="K28" s="28"/>
      <c r="L28" s="28"/>
      <c r="M28" s="28"/>
      <c r="N28" s="28"/>
      <c r="O28" s="28"/>
      <c r="P28" s="28"/>
      <c r="Q28" s="28"/>
      <c r="R28" s="28"/>
      <c r="S28" s="28"/>
      <c r="T28" s="28"/>
    </row>
    <row r="29" spans="1:22" ht="15.75" x14ac:dyDescent="0.25">
      <c r="A29" s="608"/>
      <c r="B29" s="608"/>
      <c r="C29" s="608"/>
      <c r="D29" s="28" t="s">
        <v>170</v>
      </c>
      <c r="E29" s="28"/>
      <c r="F29" s="28" t="s">
        <v>176</v>
      </c>
      <c r="G29" s="28"/>
      <c r="H29" s="28"/>
      <c r="I29" s="28"/>
      <c r="J29" s="28"/>
      <c r="K29" s="28"/>
      <c r="L29" s="28"/>
      <c r="M29" s="28"/>
      <c r="N29" s="28"/>
      <c r="O29" s="28"/>
      <c r="P29" s="28"/>
      <c r="Q29" s="28"/>
      <c r="R29" s="28"/>
      <c r="S29" s="28"/>
      <c r="T29" s="28"/>
    </row>
    <row r="30" spans="1:22" ht="15.75" x14ac:dyDescent="0.25">
      <c r="A30" s="746"/>
      <c r="B30" s="746"/>
      <c r="C30" s="746"/>
      <c r="D30" s="28"/>
      <c r="E30" s="28"/>
      <c r="F30" s="28" t="s">
        <v>172</v>
      </c>
      <c r="G30" s="28"/>
      <c r="H30" s="28"/>
      <c r="I30" s="28"/>
      <c r="J30" s="28"/>
      <c r="K30" s="28"/>
      <c r="L30" s="28"/>
      <c r="M30" s="28"/>
      <c r="N30" s="28"/>
      <c r="O30" s="28"/>
      <c r="P30" s="28"/>
      <c r="Q30" s="28"/>
      <c r="R30" s="28"/>
      <c r="S30" s="28"/>
      <c r="T30" s="28"/>
      <c r="V30" s="26"/>
    </row>
    <row r="31" spans="1:22" ht="15.75" x14ac:dyDescent="0.25">
      <c r="A31" s="451"/>
      <c r="B31" s="451"/>
      <c r="C31" s="451"/>
      <c r="D31" s="28"/>
      <c r="E31" s="28"/>
      <c r="F31" s="28"/>
      <c r="G31" s="28"/>
      <c r="H31" s="28"/>
      <c r="I31" s="28"/>
      <c r="J31" s="28"/>
      <c r="K31" s="28"/>
      <c r="L31" s="28"/>
      <c r="M31" s="28"/>
      <c r="N31" s="28"/>
      <c r="O31" s="28"/>
      <c r="P31" s="28"/>
      <c r="Q31" s="28"/>
      <c r="R31" s="28"/>
      <c r="S31" s="28"/>
      <c r="T31" s="28"/>
      <c r="V31" s="26"/>
    </row>
    <row r="32" spans="1:22" ht="15.75" x14ac:dyDescent="0.25">
      <c r="A32" s="451"/>
      <c r="B32" s="451"/>
      <c r="C32" s="451"/>
      <c r="D32" s="28"/>
      <c r="E32" s="28"/>
      <c r="F32" s="28"/>
      <c r="G32" s="28"/>
      <c r="H32" s="28"/>
      <c r="I32" s="28"/>
      <c r="J32" s="28"/>
      <c r="K32" s="28"/>
      <c r="L32" s="28"/>
      <c r="M32" s="28"/>
      <c r="N32" s="28"/>
      <c r="O32" s="28"/>
      <c r="P32" s="28"/>
      <c r="Q32" s="28"/>
      <c r="R32" s="28"/>
      <c r="S32" s="28"/>
      <c r="T32" s="28"/>
      <c r="V32" s="26"/>
    </row>
    <row r="33" spans="1:22" ht="15.75" x14ac:dyDescent="0.25">
      <c r="A33" s="451"/>
      <c r="B33" s="451"/>
      <c r="C33" s="451"/>
      <c r="D33" s="28"/>
      <c r="E33" s="28"/>
      <c r="F33" s="28"/>
      <c r="G33" s="28"/>
      <c r="H33" s="28"/>
      <c r="I33" s="28"/>
      <c r="J33" s="28"/>
      <c r="K33" s="28"/>
      <c r="L33" s="28"/>
      <c r="M33" s="28"/>
      <c r="N33" s="28"/>
      <c r="O33" s="28"/>
      <c r="P33" s="28"/>
      <c r="Q33" s="28"/>
      <c r="R33" s="28"/>
      <c r="S33" s="28"/>
      <c r="T33" s="28"/>
      <c r="V33" s="26"/>
    </row>
    <row r="34" spans="1:22" ht="15.75" x14ac:dyDescent="0.25">
      <c r="A34" s="451"/>
      <c r="B34" s="451"/>
      <c r="C34" s="451"/>
      <c r="D34" s="28"/>
      <c r="E34" s="28"/>
      <c r="F34" s="28"/>
      <c r="G34" s="28"/>
      <c r="H34" s="28"/>
      <c r="I34" s="28"/>
      <c r="J34" s="28"/>
      <c r="K34" s="28"/>
      <c r="L34" s="28"/>
      <c r="M34" s="28"/>
      <c r="N34" s="28"/>
      <c r="O34" s="28"/>
      <c r="P34" s="28"/>
      <c r="Q34" s="28"/>
      <c r="R34" s="28"/>
      <c r="S34" s="28"/>
      <c r="T34" s="28"/>
      <c r="V34" s="26"/>
    </row>
    <row r="35" spans="1:22" ht="15.75" x14ac:dyDescent="0.25">
      <c r="A35" s="451"/>
      <c r="B35" s="451"/>
      <c r="C35" s="451"/>
      <c r="D35" s="28"/>
      <c r="E35" s="28"/>
      <c r="F35" s="28"/>
      <c r="G35" s="28"/>
      <c r="H35" s="28"/>
      <c r="I35" s="28"/>
      <c r="J35" s="28"/>
      <c r="K35" s="28"/>
      <c r="L35" s="28"/>
      <c r="M35" s="28"/>
      <c r="N35" s="28"/>
      <c r="O35" s="28"/>
      <c r="P35" s="28"/>
      <c r="Q35" s="28"/>
      <c r="R35" s="28"/>
      <c r="S35" s="28"/>
      <c r="T35" s="28"/>
      <c r="V35" s="26"/>
    </row>
    <row r="36" spans="1:22" ht="18.75" x14ac:dyDescent="0.3">
      <c r="A36" s="606" t="e">
        <f>_xlfn.SINGLE('Simulateur Fusion CFDT'!#REF!)</f>
        <v>#REF!</v>
      </c>
      <c r="B36" s="606"/>
      <c r="C36" s="606"/>
      <c r="D36" s="27" t="s">
        <v>177</v>
      </c>
      <c r="E36" s="28"/>
      <c r="K36" s="28"/>
      <c r="L36" s="28"/>
      <c r="M36" s="28"/>
      <c r="N36" s="28"/>
      <c r="O36" s="28"/>
      <c r="P36" s="28"/>
      <c r="Q36" s="28"/>
      <c r="R36" s="28"/>
      <c r="S36" s="28"/>
      <c r="T36" s="28"/>
      <c r="V36" s="26"/>
    </row>
    <row r="37" spans="1:22" ht="15.75" x14ac:dyDescent="0.25">
      <c r="A37" s="744" t="s">
        <v>178</v>
      </c>
      <c r="B37" s="744"/>
      <c r="C37" s="744"/>
      <c r="D37" s="29" t="s">
        <v>163</v>
      </c>
      <c r="E37" s="28"/>
      <c r="F37" s="28" t="s">
        <v>179</v>
      </c>
      <c r="K37" s="28"/>
      <c r="L37" s="28"/>
      <c r="M37" s="28"/>
      <c r="N37" s="28"/>
      <c r="O37" s="28"/>
      <c r="P37" s="28"/>
      <c r="Q37" s="28"/>
      <c r="R37" s="28"/>
      <c r="S37" s="28"/>
      <c r="T37" s="28"/>
      <c r="V37" s="26"/>
    </row>
    <row r="38" spans="1:22" ht="15.75" x14ac:dyDescent="0.25">
      <c r="E38" s="28"/>
      <c r="K38" s="28"/>
      <c r="L38" s="28"/>
      <c r="M38" s="28"/>
      <c r="N38" s="28"/>
      <c r="O38" s="28"/>
      <c r="P38" s="28"/>
      <c r="Q38" s="28"/>
      <c r="R38" s="28"/>
      <c r="S38" s="28"/>
      <c r="T38" s="28"/>
      <c r="V38" s="26"/>
    </row>
    <row r="39" spans="1:22" ht="15.75" x14ac:dyDescent="0.25">
      <c r="K39" s="28"/>
      <c r="L39" s="28"/>
      <c r="M39" s="28"/>
      <c r="N39" s="28"/>
      <c r="O39" s="28"/>
      <c r="P39" s="28"/>
      <c r="Q39" s="28"/>
      <c r="R39" s="28"/>
      <c r="S39" s="28"/>
      <c r="T39" s="28"/>
      <c r="V39" s="26"/>
    </row>
    <row r="40" spans="1:22" ht="15.75" x14ac:dyDescent="0.25">
      <c r="K40" s="28"/>
      <c r="L40" s="28"/>
      <c r="M40" s="28"/>
      <c r="N40" s="28"/>
      <c r="O40" s="28"/>
      <c r="P40" s="28"/>
      <c r="Q40" s="28"/>
      <c r="R40" s="28"/>
      <c r="S40" s="28"/>
      <c r="T40" s="28"/>
      <c r="V40" s="26"/>
    </row>
    <row r="41" spans="1:22" ht="15.75" x14ac:dyDescent="0.25">
      <c r="K41" s="28"/>
      <c r="L41" s="28"/>
      <c r="M41" s="28"/>
      <c r="N41" s="28"/>
      <c r="O41" s="28"/>
      <c r="P41" s="28"/>
      <c r="Q41" s="28"/>
      <c r="R41" s="28"/>
      <c r="S41" s="28"/>
      <c r="T41" s="28"/>
      <c r="V41" s="26"/>
    </row>
    <row r="42" spans="1:22" ht="15.75" x14ac:dyDescent="0.25">
      <c r="K42" s="28"/>
      <c r="L42" s="28"/>
      <c r="M42" s="28"/>
      <c r="N42" s="28"/>
      <c r="O42" s="28"/>
      <c r="P42" s="28"/>
      <c r="Q42" s="28"/>
      <c r="R42" s="28"/>
      <c r="S42" s="28"/>
      <c r="T42" s="28"/>
      <c r="V42" s="26"/>
    </row>
    <row r="43" spans="1:22" ht="15.75" x14ac:dyDescent="0.25">
      <c r="K43" s="28"/>
      <c r="L43" s="28"/>
      <c r="M43" s="28"/>
      <c r="N43" s="28"/>
      <c r="O43" s="28"/>
      <c r="P43" s="28"/>
      <c r="Q43" s="28"/>
      <c r="R43" s="28"/>
      <c r="S43" s="28"/>
      <c r="T43" s="28"/>
      <c r="V43" s="26"/>
    </row>
    <row r="44" spans="1:22" ht="15.75" x14ac:dyDescent="0.25">
      <c r="F44" t="s">
        <v>180</v>
      </c>
      <c r="K44" s="28"/>
      <c r="L44" s="28"/>
      <c r="M44" s="28"/>
      <c r="N44" s="28"/>
      <c r="O44" s="28"/>
      <c r="P44" s="28"/>
      <c r="Q44" s="28"/>
      <c r="R44" s="28"/>
      <c r="S44" s="28"/>
      <c r="T44" s="28"/>
      <c r="V44" s="26"/>
    </row>
    <row r="45" spans="1:22" ht="15.75" x14ac:dyDescent="0.25">
      <c r="K45" s="28"/>
      <c r="L45" s="28"/>
      <c r="M45" s="28"/>
      <c r="N45" s="28"/>
      <c r="O45" s="28"/>
      <c r="P45" s="28"/>
      <c r="Q45" s="28"/>
      <c r="R45" s="28"/>
      <c r="S45" s="28"/>
      <c r="T45" s="28"/>
      <c r="V45" s="26"/>
    </row>
    <row r="46" spans="1:22" ht="15.75" x14ac:dyDescent="0.25">
      <c r="A46" s="451"/>
      <c r="B46" s="451"/>
      <c r="C46" s="451"/>
      <c r="D46" s="28"/>
      <c r="E46" s="28"/>
      <c r="F46" s="28"/>
      <c r="G46" s="28"/>
      <c r="H46" s="28"/>
      <c r="I46" s="28"/>
      <c r="J46" s="28"/>
      <c r="K46" s="28"/>
      <c r="L46" s="28"/>
      <c r="M46" s="28"/>
      <c r="N46" s="28"/>
      <c r="O46" s="28"/>
      <c r="P46" s="28"/>
      <c r="Q46" s="28"/>
      <c r="R46" s="28"/>
      <c r="S46" s="28"/>
      <c r="T46" s="28"/>
      <c r="V46" s="26"/>
    </row>
    <row r="47" spans="1:22" ht="15.75" x14ac:dyDescent="0.25">
      <c r="A47" s="451"/>
      <c r="B47" s="451"/>
      <c r="C47" s="451"/>
      <c r="D47" s="28"/>
      <c r="E47" s="28"/>
      <c r="F47" s="28"/>
      <c r="G47" s="28"/>
      <c r="H47" s="28"/>
      <c r="I47" s="28"/>
      <c r="J47" s="28"/>
      <c r="K47" s="28"/>
      <c r="L47" s="28"/>
      <c r="M47" s="28"/>
      <c r="N47" s="28"/>
      <c r="O47" s="28"/>
      <c r="P47" s="28"/>
      <c r="Q47" s="28"/>
      <c r="R47" s="28"/>
      <c r="S47" s="28"/>
      <c r="T47" s="28"/>
      <c r="V47" s="26"/>
    </row>
    <row r="48" spans="1:22" ht="15.75" x14ac:dyDescent="0.25">
      <c r="A48" s="451"/>
      <c r="B48" s="451"/>
      <c r="C48" s="451"/>
      <c r="D48" s="28"/>
      <c r="E48" s="28"/>
      <c r="F48" s="28"/>
      <c r="G48" s="28"/>
      <c r="H48" s="28"/>
      <c r="I48" s="28"/>
      <c r="J48" s="28"/>
      <c r="K48" s="28"/>
      <c r="L48" s="28"/>
      <c r="M48" s="28"/>
      <c r="N48" s="28"/>
      <c r="O48" s="28"/>
      <c r="P48" s="28"/>
      <c r="Q48" s="28"/>
      <c r="R48" s="28"/>
      <c r="S48" s="28"/>
      <c r="T48" s="28"/>
      <c r="V48" s="26"/>
    </row>
    <row r="49" spans="1:22" ht="15.75" x14ac:dyDescent="0.25">
      <c r="A49" s="451"/>
      <c r="B49" s="451"/>
      <c r="C49" s="451"/>
      <c r="D49" s="28"/>
      <c r="E49" s="28"/>
      <c r="F49" s="28"/>
      <c r="G49" s="28"/>
      <c r="H49" s="28"/>
      <c r="I49" s="28"/>
      <c r="J49" s="28"/>
      <c r="K49" s="28"/>
      <c r="L49" s="28"/>
      <c r="M49" s="28"/>
      <c r="N49" s="28"/>
      <c r="O49" s="28"/>
      <c r="P49" s="28"/>
      <c r="Q49" s="28"/>
      <c r="R49" s="28"/>
      <c r="S49" s="28"/>
      <c r="T49" s="28"/>
      <c r="V49" s="26"/>
    </row>
    <row r="50" spans="1:22" ht="15.75" x14ac:dyDescent="0.25">
      <c r="A50" s="451"/>
      <c r="B50" s="451"/>
      <c r="C50" s="451"/>
      <c r="D50" s="28"/>
      <c r="E50" s="28"/>
      <c r="F50" s="28"/>
      <c r="G50" s="28"/>
      <c r="H50" s="28"/>
      <c r="I50" s="28"/>
      <c r="J50" s="28"/>
      <c r="K50" s="28"/>
      <c r="L50" s="28"/>
      <c r="M50" s="28"/>
      <c r="N50" s="28"/>
      <c r="O50" s="28"/>
      <c r="P50" s="28"/>
      <c r="Q50" s="28"/>
      <c r="R50" s="28"/>
      <c r="S50" s="28"/>
      <c r="T50" s="28"/>
      <c r="V50" s="26"/>
    </row>
    <row r="51" spans="1:22" ht="18.75" x14ac:dyDescent="0.3">
      <c r="A51" s="606">
        <f>'Simulateur Fusion CFDT'!D6</f>
        <v>0</v>
      </c>
      <c r="B51" s="606"/>
      <c r="C51" s="606" t="s">
        <v>181</v>
      </c>
      <c r="D51" s="27" t="s">
        <v>182</v>
      </c>
      <c r="E51" s="28"/>
      <c r="G51" s="28"/>
      <c r="H51" s="28"/>
      <c r="I51" s="28"/>
      <c r="J51" s="28"/>
      <c r="K51" s="28"/>
      <c r="L51" s="28"/>
      <c r="M51" s="28"/>
      <c r="N51" s="28"/>
      <c r="O51" s="28"/>
      <c r="P51" s="28"/>
      <c r="Q51" s="28"/>
      <c r="R51" s="28"/>
      <c r="S51" s="28"/>
      <c r="T51" s="28"/>
    </row>
    <row r="52" spans="1:22" ht="15.75" x14ac:dyDescent="0.25">
      <c r="A52" s="744" t="s">
        <v>183</v>
      </c>
      <c r="B52" s="744"/>
      <c r="C52" s="744"/>
      <c r="D52" s="29" t="s">
        <v>184</v>
      </c>
      <c r="E52" s="29"/>
      <c r="F52" s="28" t="s">
        <v>185</v>
      </c>
      <c r="G52" s="28"/>
      <c r="H52" s="28"/>
      <c r="I52" s="28"/>
      <c r="J52" s="28"/>
      <c r="K52" s="28"/>
      <c r="L52" s="28"/>
      <c r="M52" s="28"/>
      <c r="N52" s="28"/>
      <c r="O52" s="28"/>
      <c r="P52" s="28"/>
      <c r="Q52" s="28"/>
      <c r="R52" s="28"/>
      <c r="S52" s="28"/>
      <c r="T52" s="28"/>
    </row>
    <row r="53" spans="1:22" ht="15.75" x14ac:dyDescent="0.25">
      <c r="D53" s="28" t="s">
        <v>186</v>
      </c>
      <c r="E53" s="28"/>
      <c r="F53" s="28" t="s">
        <v>187</v>
      </c>
      <c r="G53" s="28"/>
      <c r="H53" s="28"/>
      <c r="I53" s="28"/>
      <c r="J53" s="28"/>
      <c r="K53" s="28"/>
      <c r="L53" s="28"/>
      <c r="M53" s="28"/>
      <c r="N53" s="28"/>
      <c r="O53" s="28"/>
      <c r="P53" s="28"/>
      <c r="Q53" s="28"/>
      <c r="R53" s="28"/>
      <c r="S53" s="28"/>
      <c r="T53" s="28"/>
    </row>
    <row r="54" spans="1:22" ht="15.75" x14ac:dyDescent="0.25">
      <c r="D54" s="28"/>
      <c r="E54" s="28"/>
      <c r="G54" s="28"/>
      <c r="H54" s="28"/>
      <c r="I54" s="28"/>
      <c r="J54" s="28"/>
      <c r="K54" s="28"/>
      <c r="L54" s="28"/>
      <c r="M54" s="28"/>
      <c r="N54" s="28"/>
      <c r="O54" s="28"/>
      <c r="P54" s="28"/>
      <c r="Q54" s="28"/>
      <c r="R54" s="28"/>
      <c r="S54" s="28"/>
      <c r="T54" s="28"/>
    </row>
    <row r="55" spans="1:22" ht="15.75" x14ac:dyDescent="0.25">
      <c r="D55" s="28"/>
      <c r="E55" s="28"/>
      <c r="F55" s="28"/>
      <c r="G55" s="28"/>
      <c r="H55" s="28"/>
      <c r="I55" s="28"/>
      <c r="J55" s="28"/>
      <c r="K55" s="28"/>
      <c r="L55" s="28"/>
      <c r="M55" s="28"/>
      <c r="N55" s="28"/>
      <c r="O55" s="28"/>
      <c r="P55" s="28"/>
      <c r="Q55" s="28"/>
      <c r="R55" s="28"/>
      <c r="T55" s="28"/>
    </row>
    <row r="56" spans="1:22" ht="15.75" x14ac:dyDescent="0.25">
      <c r="D56" s="28"/>
      <c r="E56" s="28"/>
      <c r="F56" s="28"/>
      <c r="G56" s="28"/>
      <c r="H56" s="28"/>
      <c r="I56" s="28"/>
      <c r="J56" s="28"/>
      <c r="K56" s="28"/>
      <c r="L56" s="28"/>
      <c r="M56" s="28"/>
      <c r="N56" s="28"/>
      <c r="O56" s="28"/>
      <c r="P56" s="28"/>
      <c r="Q56" s="28"/>
      <c r="R56" s="28"/>
      <c r="S56" s="28"/>
      <c r="T56" s="28"/>
    </row>
    <row r="57" spans="1:22" ht="15.75" x14ac:dyDescent="0.25">
      <c r="D57" s="28"/>
      <c r="E57" s="28"/>
      <c r="F57" s="28"/>
      <c r="G57" s="28"/>
      <c r="H57" s="28"/>
      <c r="I57" s="28"/>
      <c r="J57" s="28"/>
      <c r="K57" s="28"/>
      <c r="L57" s="28"/>
      <c r="M57" s="28"/>
      <c r="N57" s="28"/>
      <c r="O57" s="28"/>
      <c r="P57" s="28"/>
      <c r="Q57" s="28"/>
      <c r="R57" s="28"/>
      <c r="S57" s="28"/>
      <c r="T57" s="28"/>
    </row>
    <row r="58" spans="1:22" ht="15.75" x14ac:dyDescent="0.25">
      <c r="D58" s="28"/>
      <c r="E58" s="28"/>
      <c r="F58" s="28"/>
      <c r="G58" s="28"/>
      <c r="H58" s="28"/>
      <c r="I58" s="28"/>
      <c r="J58" s="28"/>
      <c r="K58" s="28"/>
      <c r="L58" s="28"/>
      <c r="M58" s="28"/>
      <c r="N58" s="28"/>
      <c r="O58" s="28"/>
      <c r="P58" s="28"/>
      <c r="Q58" s="28"/>
      <c r="R58" s="28"/>
      <c r="S58" s="28"/>
      <c r="T58" s="28"/>
    </row>
    <row r="59" spans="1:22" ht="15.75" x14ac:dyDescent="0.25">
      <c r="D59" s="28"/>
      <c r="E59" s="28"/>
      <c r="F59" s="28"/>
      <c r="G59" s="28"/>
      <c r="H59" s="28"/>
      <c r="I59" s="28"/>
      <c r="J59" s="28"/>
      <c r="K59" s="28"/>
      <c r="L59" s="28"/>
      <c r="M59" s="28"/>
      <c r="N59" s="28"/>
      <c r="O59" s="28"/>
      <c r="P59" s="28"/>
      <c r="Q59" s="28"/>
      <c r="R59" s="28"/>
      <c r="S59" s="28"/>
      <c r="T59" s="28"/>
    </row>
    <row r="60" spans="1:22" ht="15.75" x14ac:dyDescent="0.25">
      <c r="D60" s="28"/>
      <c r="E60" s="28"/>
      <c r="F60" s="28"/>
      <c r="G60" s="28"/>
      <c r="H60" s="28"/>
      <c r="I60" s="28"/>
      <c r="J60" s="28"/>
      <c r="K60" s="28"/>
      <c r="L60" s="28"/>
      <c r="M60" s="28"/>
      <c r="N60" s="28"/>
      <c r="O60" s="28"/>
      <c r="P60" s="28"/>
      <c r="Q60" s="28"/>
      <c r="R60" s="28"/>
      <c r="S60" s="28"/>
      <c r="T60" s="28"/>
    </row>
    <row r="61" spans="1:22" ht="15.75" x14ac:dyDescent="0.25">
      <c r="D61" s="30" t="s">
        <v>188</v>
      </c>
      <c r="E61" s="28"/>
      <c r="G61" s="28"/>
      <c r="H61" s="28"/>
      <c r="I61" s="28"/>
      <c r="J61" s="28"/>
      <c r="K61" s="28"/>
      <c r="L61" s="28"/>
      <c r="M61" s="28"/>
      <c r="N61" s="28"/>
      <c r="O61" s="28"/>
      <c r="P61" s="28"/>
      <c r="Q61" s="28"/>
      <c r="R61" s="28"/>
      <c r="S61" s="28"/>
      <c r="T61" s="28"/>
    </row>
    <row r="62" spans="1:22" ht="15.75" x14ac:dyDescent="0.25">
      <c r="D62" s="28"/>
      <c r="E62" s="28"/>
      <c r="F62" s="28"/>
      <c r="G62" s="28"/>
      <c r="H62" s="28"/>
      <c r="I62" s="28"/>
      <c r="J62" s="28"/>
      <c r="K62" s="28"/>
      <c r="L62" s="28"/>
      <c r="M62" s="28"/>
      <c r="N62" s="28"/>
      <c r="O62" s="28"/>
      <c r="P62" s="28"/>
      <c r="Q62" s="28"/>
      <c r="R62" s="28"/>
      <c r="S62" s="28"/>
      <c r="T62" s="28"/>
    </row>
  </sheetData>
  <sheetProtection algorithmName="SHA-512" hashValue="ViJCXgDOoFeKtD6P5/MbQ0m5bzVvBkoI+E+8UTs1uUpQh8uhVlG2u6CWsszJo2CfM+az4BWmQ3FA+FVzguqzSA==" saltValue="VfGY9HDCzeaT1Zyc/lmO/g==" spinCount="100000" sheet="1" objects="1" scenarios="1"/>
  <mergeCells count="28">
    <mergeCell ref="A9:C9"/>
    <mergeCell ref="D1:I4"/>
    <mergeCell ref="A5:C5"/>
    <mergeCell ref="A6:C6"/>
    <mergeCell ref="A7:C7"/>
    <mergeCell ref="A8:C8"/>
    <mergeCell ref="A21:C21"/>
    <mergeCell ref="A10:C10"/>
    <mergeCell ref="A11:C11"/>
    <mergeCell ref="A12:C12"/>
    <mergeCell ref="A13:C13"/>
    <mergeCell ref="A14:C14"/>
    <mergeCell ref="A15:C15"/>
    <mergeCell ref="A16:C16"/>
    <mergeCell ref="A17:C17"/>
    <mergeCell ref="A18:C18"/>
    <mergeCell ref="A19:C19"/>
    <mergeCell ref="A20:C20"/>
    <mergeCell ref="A36:C36"/>
    <mergeCell ref="A37:C37"/>
    <mergeCell ref="A51:C51"/>
    <mergeCell ref="A52:C52"/>
    <mergeCell ref="A25:C25"/>
    <mergeCell ref="A26:C26"/>
    <mergeCell ref="A27:C27"/>
    <mergeCell ref="A28:C28"/>
    <mergeCell ref="A29:C29"/>
    <mergeCell ref="A30:C30"/>
  </mergeCells>
  <hyperlinks>
    <hyperlink ref="D52" r:id="rId1" display="Go to my portal" xr:uid="{CD4483DF-316A-42F6-B817-F7E85BDBA151}"/>
    <hyperlink ref="D10" r:id="rId2" display="Go to your total reward" xr:uid="{F724D9B6-015B-4948-9768-8F6172DE50FD}"/>
    <hyperlink ref="D37" r:id="rId3" display="Go to your total reward" xr:uid="{C4683D32-8245-49AD-851D-21F55E76DACD}"/>
    <hyperlink ref="D20" r:id="rId4" xr:uid="{BA311C89-BFAB-46D0-AC7B-F8C50C682863}"/>
    <hyperlink ref="D28" r:id="rId5" xr:uid="{7506C118-D9D4-44EA-93BC-75FDF64F16B7}"/>
    <hyperlink ref="I5" location="'Simulator RCC CFDT-EN'!A1" display="Retour au simulateur" xr:uid="{DF5C905A-8BE6-4A71-B664-364401809F8A}"/>
  </hyperlinks>
  <pageMargins left="0.7" right="0.7" top="0.75" bottom="0.75" header="0.3" footer="0.3"/>
  <pageSetup orientation="portrait" r:id="rId6"/>
  <headerFooter>
    <oddHeader>&amp;R&amp;"Calibri"&amp;12&amp;KFF8C00CONFIDENTIAL &amp; RESTRICTED&amp;1#</oddHeader>
  </headerFooter>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D61A-FCBD-4073-A516-7E30BCE52E2B}">
  <dimension ref="A1:V62"/>
  <sheetViews>
    <sheetView topLeftCell="A28" zoomScaleNormal="100" workbookViewId="0">
      <selection activeCell="A51" sqref="A51:XFD62"/>
    </sheetView>
  </sheetViews>
  <sheetFormatPr defaultColWidth="9.140625" defaultRowHeight="15" x14ac:dyDescent="0.25"/>
  <cols>
    <col min="1" max="3" width="13.7109375" style="17" customWidth="1"/>
    <col min="4" max="4" width="15.140625" customWidth="1"/>
    <col min="5" max="5" width="20.5703125" customWidth="1"/>
    <col min="6" max="6" width="19.7109375" customWidth="1"/>
    <col min="7" max="7" width="8.28515625" customWidth="1"/>
    <col min="8" max="8" width="9" customWidth="1"/>
    <col min="9" max="9" width="14.5703125" customWidth="1"/>
    <col min="10" max="10" width="9.28515625" bestFit="1" customWidth="1"/>
    <col min="12" max="12" width="31.140625" hidden="1" customWidth="1"/>
    <col min="13" max="13" width="18.42578125" hidden="1" customWidth="1"/>
    <col min="14" max="14" width="14.140625" hidden="1" customWidth="1"/>
    <col min="15" max="15" width="0" hidden="1" customWidth="1"/>
  </cols>
  <sheetData>
    <row r="1" spans="1:20" s="17" customFormat="1" ht="18.600000000000001" customHeight="1" x14ac:dyDescent="0.25">
      <c r="D1" s="610" t="s">
        <v>157</v>
      </c>
      <c r="E1" s="610"/>
      <c r="F1" s="610"/>
      <c r="G1" s="610"/>
      <c r="H1" s="610"/>
      <c r="I1" s="610"/>
      <c r="J1" s="32"/>
      <c r="K1" s="32"/>
    </row>
    <row r="2" spans="1:20" s="17" customFormat="1" ht="39.6" customHeight="1" x14ac:dyDescent="0.25">
      <c r="D2" s="610"/>
      <c r="E2" s="610"/>
      <c r="F2" s="610"/>
      <c r="G2" s="610"/>
      <c r="H2" s="610"/>
      <c r="I2" s="610"/>
      <c r="J2" s="32"/>
      <c r="K2" s="32"/>
    </row>
    <row r="3" spans="1:20" s="17" customFormat="1" ht="18.600000000000001" customHeight="1" x14ac:dyDescent="0.25">
      <c r="D3" s="610"/>
      <c r="E3" s="610"/>
      <c r="F3" s="610"/>
      <c r="G3" s="610"/>
      <c r="H3" s="610"/>
      <c r="I3" s="610"/>
      <c r="J3" s="32"/>
      <c r="K3" s="32"/>
    </row>
    <row r="4" spans="1:20" s="17" customFormat="1" ht="32.1" customHeight="1" x14ac:dyDescent="0.25">
      <c r="D4" s="610"/>
      <c r="E4" s="610"/>
      <c r="F4" s="610"/>
      <c r="G4" s="610"/>
      <c r="H4" s="610"/>
      <c r="I4" s="610"/>
      <c r="J4" s="32"/>
      <c r="K4" s="32"/>
    </row>
    <row r="5" spans="1:20" s="17" customFormat="1" ht="26.25" x14ac:dyDescent="0.4">
      <c r="A5" s="545" t="s">
        <v>4</v>
      </c>
      <c r="B5" s="545"/>
      <c r="C5" s="545"/>
      <c r="D5" s="32"/>
      <c r="E5" s="32"/>
      <c r="F5" s="32"/>
      <c r="G5" s="32"/>
      <c r="I5" s="36" t="s">
        <v>158</v>
      </c>
      <c r="J5" s="32"/>
      <c r="K5" s="32"/>
    </row>
    <row r="6" spans="1:20" ht="15.75" x14ac:dyDescent="0.25">
      <c r="A6" s="747"/>
      <c r="B6" s="747"/>
      <c r="C6" s="747"/>
      <c r="D6" s="28"/>
      <c r="E6" s="28"/>
      <c r="G6" s="28"/>
      <c r="H6" s="28"/>
      <c r="I6" s="28"/>
      <c r="J6" s="28"/>
      <c r="K6" s="28"/>
      <c r="L6" s="28"/>
      <c r="M6" s="28"/>
      <c r="N6" s="28"/>
      <c r="O6" s="28"/>
      <c r="P6" s="28"/>
      <c r="Q6" s="28"/>
      <c r="R6" s="28"/>
      <c r="S6" s="28"/>
      <c r="T6" s="28"/>
    </row>
    <row r="7" spans="1:20" ht="18.75" x14ac:dyDescent="0.3">
      <c r="A7" s="606" t="str">
        <f>'Simulateur Fusion CFDT'!A6:C6</f>
        <v>Salaire mensuel de base (Brut)</v>
      </c>
      <c r="B7" s="606"/>
      <c r="C7" s="606"/>
      <c r="D7" s="27" t="s">
        <v>159</v>
      </c>
      <c r="E7" s="28"/>
      <c r="F7" s="28"/>
      <c r="G7" s="28"/>
      <c r="H7" s="28"/>
      <c r="I7" s="28"/>
      <c r="J7" s="28"/>
      <c r="K7" s="28"/>
      <c r="L7" s="28"/>
      <c r="M7" s="28"/>
      <c r="N7" s="28"/>
      <c r="O7" s="28"/>
      <c r="P7" s="28"/>
      <c r="Q7" s="28"/>
      <c r="R7" s="28"/>
      <c r="S7" s="28"/>
      <c r="T7" s="28"/>
    </row>
    <row r="8" spans="1:20" ht="18.75" x14ac:dyDescent="0.3">
      <c r="A8" s="744" t="s">
        <v>160</v>
      </c>
      <c r="B8" s="744"/>
      <c r="C8" s="744"/>
      <c r="D8" s="27"/>
      <c r="E8" s="28"/>
      <c r="F8" s="28"/>
      <c r="G8" s="28"/>
      <c r="H8" s="28"/>
      <c r="I8" s="28"/>
      <c r="J8" s="28"/>
      <c r="K8" s="28"/>
      <c r="L8" s="28"/>
      <c r="M8" s="28"/>
      <c r="N8" s="28"/>
      <c r="O8" s="28"/>
      <c r="P8" s="28"/>
      <c r="Q8" s="28"/>
      <c r="R8" s="28"/>
      <c r="S8" s="28"/>
      <c r="T8" s="28"/>
    </row>
    <row r="9" spans="1:20" ht="15.75" x14ac:dyDescent="0.25">
      <c r="A9" s="609" t="s">
        <v>161</v>
      </c>
      <c r="B9" s="609"/>
      <c r="C9" s="609"/>
      <c r="D9" s="28" t="s">
        <v>162</v>
      </c>
      <c r="E9" s="28"/>
      <c r="F9" s="28"/>
      <c r="G9" s="28"/>
      <c r="H9" s="28"/>
      <c r="I9" s="28"/>
      <c r="J9" s="28"/>
      <c r="K9" s="28"/>
      <c r="L9" s="28"/>
      <c r="M9" s="28"/>
      <c r="N9" s="28"/>
      <c r="O9" s="28"/>
      <c r="P9" s="28"/>
      <c r="Q9" s="28"/>
      <c r="R9" s="28"/>
      <c r="S9" s="28"/>
      <c r="T9" s="28"/>
    </row>
    <row r="10" spans="1:20" ht="15.75" x14ac:dyDescent="0.25">
      <c r="A10" s="747"/>
      <c r="B10" s="747"/>
      <c r="C10" s="747"/>
      <c r="D10" s="29" t="s">
        <v>163</v>
      </c>
      <c r="E10" s="28"/>
      <c r="F10" s="28" t="s">
        <v>164</v>
      </c>
      <c r="G10" s="28"/>
      <c r="H10" s="28"/>
      <c r="I10" s="28"/>
      <c r="J10" s="28"/>
      <c r="K10" s="28"/>
      <c r="L10" s="28"/>
      <c r="M10" s="28"/>
      <c r="N10" s="28"/>
      <c r="O10" s="28"/>
      <c r="P10" s="28"/>
      <c r="Q10" s="28"/>
      <c r="R10" s="28"/>
      <c r="S10" s="28"/>
      <c r="T10" s="28"/>
    </row>
    <row r="11" spans="1:20" ht="15.75" x14ac:dyDescent="0.25">
      <c r="A11" s="747"/>
      <c r="B11" s="747"/>
      <c r="C11" s="747"/>
      <c r="E11" s="28"/>
      <c r="F11" t="s">
        <v>165</v>
      </c>
      <c r="G11" s="28"/>
      <c r="H11" s="28"/>
      <c r="I11" s="28"/>
      <c r="J11" s="28"/>
      <c r="K11" s="28"/>
      <c r="L11" s="28"/>
      <c r="M11" s="28"/>
      <c r="N11" s="28"/>
      <c r="O11" s="28"/>
      <c r="P11" s="28"/>
      <c r="Q11" s="28"/>
      <c r="R11" s="28"/>
      <c r="S11" s="28"/>
      <c r="T11" s="28"/>
    </row>
    <row r="12" spans="1:20" ht="15.75" x14ac:dyDescent="0.25">
      <c r="A12" s="747"/>
      <c r="B12" s="747"/>
      <c r="C12" s="747"/>
      <c r="D12" s="28"/>
      <c r="E12" s="28"/>
      <c r="G12" s="28"/>
      <c r="H12" s="28"/>
      <c r="I12" s="28"/>
      <c r="J12" s="28"/>
      <c r="K12" s="28"/>
      <c r="L12" s="28"/>
      <c r="M12" s="28"/>
      <c r="N12" s="28"/>
      <c r="O12" s="28"/>
      <c r="P12" s="28"/>
      <c r="Q12" s="28"/>
      <c r="R12" s="28"/>
      <c r="S12" s="28"/>
      <c r="T12" s="28"/>
    </row>
    <row r="13" spans="1:20" ht="15.75" x14ac:dyDescent="0.25">
      <c r="A13" s="747"/>
      <c r="B13" s="747"/>
      <c r="C13" s="747"/>
      <c r="D13" s="28"/>
      <c r="E13" s="28"/>
      <c r="G13" s="28"/>
      <c r="H13" s="28"/>
      <c r="I13" s="28"/>
      <c r="J13" s="28"/>
      <c r="K13" s="28"/>
      <c r="L13" s="28"/>
      <c r="M13" s="28"/>
      <c r="N13" s="28"/>
      <c r="O13" s="28"/>
      <c r="P13" s="28"/>
      <c r="Q13" s="28"/>
      <c r="R13" s="28"/>
      <c r="S13" s="28"/>
      <c r="T13" s="28"/>
    </row>
    <row r="14" spans="1:20" ht="15.75" x14ac:dyDescent="0.25">
      <c r="A14" s="747"/>
      <c r="B14" s="747"/>
      <c r="C14" s="747"/>
      <c r="D14" s="28"/>
      <c r="E14" s="28"/>
      <c r="G14" s="28"/>
      <c r="H14" s="28"/>
      <c r="I14" s="28"/>
      <c r="J14" s="28"/>
      <c r="K14" s="28"/>
      <c r="L14" s="28"/>
      <c r="M14" s="28"/>
      <c r="N14" s="28"/>
      <c r="O14" s="28"/>
      <c r="P14" s="28"/>
      <c r="Q14" s="28"/>
      <c r="R14" s="28"/>
      <c r="S14" s="28"/>
      <c r="T14" s="28"/>
    </row>
    <row r="15" spans="1:20" ht="15.75" x14ac:dyDescent="0.25">
      <c r="A15" s="747"/>
      <c r="B15" s="747"/>
      <c r="C15" s="747"/>
      <c r="D15" s="28"/>
      <c r="E15" s="28"/>
      <c r="G15" s="28"/>
      <c r="H15" s="28"/>
      <c r="I15" s="28"/>
      <c r="J15" s="28"/>
      <c r="K15" s="28"/>
      <c r="L15" s="28"/>
      <c r="M15" s="28"/>
      <c r="N15" s="28"/>
      <c r="O15" s="28"/>
      <c r="P15" s="28"/>
      <c r="Q15" s="28"/>
      <c r="R15" s="28"/>
      <c r="S15" s="28"/>
      <c r="T15" s="28"/>
    </row>
    <row r="16" spans="1:20" ht="26.25" customHeight="1" x14ac:dyDescent="0.25">
      <c r="A16" s="747"/>
      <c r="B16" s="747"/>
      <c r="C16" s="747"/>
      <c r="D16" s="28"/>
      <c r="E16" s="28"/>
      <c r="F16" s="28"/>
      <c r="G16" s="28"/>
      <c r="H16" s="28"/>
      <c r="I16" s="28"/>
      <c r="J16" s="28"/>
      <c r="K16" s="28"/>
      <c r="L16" s="28"/>
      <c r="M16" s="28"/>
      <c r="N16" s="28"/>
      <c r="O16" s="28"/>
      <c r="P16" s="28"/>
      <c r="Q16" s="28"/>
      <c r="R16" s="28"/>
      <c r="S16" s="28"/>
      <c r="T16" s="28"/>
    </row>
    <row r="17" spans="1:22" ht="15.75" x14ac:dyDescent="0.25">
      <c r="A17" s="608"/>
      <c r="B17" s="608"/>
      <c r="C17" s="608"/>
      <c r="D17" s="28"/>
      <c r="E17" s="28"/>
      <c r="F17" s="28"/>
      <c r="G17" s="28"/>
      <c r="H17" s="28"/>
      <c r="I17" s="28"/>
      <c r="J17" s="28"/>
      <c r="K17" s="28"/>
      <c r="L17" s="28"/>
      <c r="M17" s="28"/>
      <c r="N17" s="28"/>
      <c r="O17" s="28"/>
      <c r="P17" s="28"/>
      <c r="Q17" s="28"/>
      <c r="R17" s="28"/>
      <c r="S17" s="28"/>
      <c r="T17" s="28"/>
    </row>
    <row r="18" spans="1:22" ht="15.75" x14ac:dyDescent="0.25">
      <c r="A18" s="608"/>
      <c r="B18" s="608"/>
      <c r="C18" s="608"/>
      <c r="D18" s="28"/>
      <c r="E18" s="28"/>
      <c r="F18" s="28"/>
      <c r="G18" s="28"/>
      <c r="H18" s="28"/>
      <c r="I18" s="28"/>
      <c r="J18" s="28"/>
      <c r="K18" s="28"/>
      <c r="L18" s="28"/>
      <c r="M18" s="28"/>
      <c r="N18" s="28"/>
      <c r="O18" s="28"/>
      <c r="P18" s="28"/>
      <c r="Q18" s="28"/>
      <c r="R18" s="28"/>
      <c r="S18" s="28"/>
      <c r="T18" s="28"/>
    </row>
    <row r="19" spans="1:22" ht="15.75" x14ac:dyDescent="0.25">
      <c r="A19" s="609" t="s">
        <v>166</v>
      </c>
      <c r="B19" s="609"/>
      <c r="C19" s="609"/>
      <c r="D19" s="28" t="s">
        <v>167</v>
      </c>
      <c r="E19" s="28"/>
      <c r="F19" s="28"/>
      <c r="G19" s="28"/>
      <c r="H19" s="28"/>
      <c r="I19" s="28"/>
      <c r="J19" s="28"/>
      <c r="K19" s="28"/>
      <c r="L19" s="28"/>
      <c r="M19" s="28"/>
      <c r="N19" s="28"/>
      <c r="O19" s="28"/>
      <c r="P19" s="28"/>
      <c r="R19" s="28"/>
      <c r="S19" s="28"/>
      <c r="T19" s="28"/>
    </row>
    <row r="20" spans="1:22" ht="15.75" x14ac:dyDescent="0.25">
      <c r="A20" s="608"/>
      <c r="B20" s="608"/>
      <c r="C20" s="608"/>
      <c r="D20" s="33" t="s">
        <v>168</v>
      </c>
      <c r="E20" s="28"/>
      <c r="F20" s="28" t="s">
        <v>169</v>
      </c>
      <c r="G20" s="28"/>
      <c r="H20" s="28"/>
      <c r="I20" s="28"/>
      <c r="J20" s="28"/>
      <c r="K20" s="28"/>
      <c r="L20" s="28"/>
      <c r="M20" s="28"/>
      <c r="N20" s="28"/>
      <c r="O20" s="28"/>
      <c r="P20" s="28"/>
      <c r="R20" s="28"/>
      <c r="S20" s="28"/>
      <c r="T20" s="28"/>
    </row>
    <row r="21" spans="1:22" ht="15.75" x14ac:dyDescent="0.25">
      <c r="A21" s="608"/>
      <c r="B21" s="608"/>
      <c r="C21" s="608"/>
      <c r="D21" s="28" t="s">
        <v>170</v>
      </c>
      <c r="E21" s="28"/>
      <c r="F21" s="28" t="s">
        <v>171</v>
      </c>
      <c r="G21" s="28"/>
      <c r="H21" s="28"/>
      <c r="I21" s="28"/>
      <c r="J21" s="28"/>
      <c r="K21" s="28"/>
      <c r="L21" s="28"/>
      <c r="M21" s="28"/>
      <c r="N21" s="28"/>
      <c r="O21" s="28"/>
      <c r="P21" s="28"/>
      <c r="R21" s="28"/>
      <c r="S21" s="28"/>
      <c r="T21" s="28"/>
    </row>
    <row r="22" spans="1:22" ht="15.75" x14ac:dyDescent="0.25">
      <c r="A22" s="40"/>
      <c r="B22" s="40"/>
      <c r="C22" s="40"/>
      <c r="D22" s="28"/>
      <c r="E22" s="28"/>
      <c r="F22" s="28" t="s">
        <v>172</v>
      </c>
      <c r="G22" s="28"/>
      <c r="H22" s="28"/>
      <c r="I22" s="28"/>
      <c r="J22" s="28"/>
      <c r="K22" s="28"/>
      <c r="L22" s="28"/>
      <c r="M22" s="28"/>
      <c r="N22" s="28"/>
      <c r="O22" s="28"/>
      <c r="P22" s="28"/>
      <c r="Q22" s="28"/>
      <c r="R22" s="28"/>
      <c r="S22" s="28"/>
      <c r="T22" s="28"/>
    </row>
    <row r="23" spans="1:22" ht="15.75" x14ac:dyDescent="0.25">
      <c r="A23" s="40"/>
      <c r="B23" s="40"/>
      <c r="C23" s="40"/>
      <c r="D23" s="28"/>
      <c r="E23" s="28"/>
      <c r="F23" s="28"/>
      <c r="G23" s="28"/>
      <c r="H23" s="28"/>
      <c r="I23" s="28"/>
      <c r="J23" s="28"/>
      <c r="K23" s="28"/>
      <c r="L23" s="28"/>
      <c r="M23" s="28"/>
      <c r="N23" s="28"/>
      <c r="O23" s="28"/>
      <c r="P23" s="28"/>
      <c r="Q23" s="28"/>
      <c r="R23" s="28"/>
      <c r="S23" s="28"/>
      <c r="T23" s="28"/>
    </row>
    <row r="24" spans="1:22" ht="15.75" x14ac:dyDescent="0.25">
      <c r="A24" s="40"/>
      <c r="B24" s="40"/>
      <c r="C24" s="40"/>
      <c r="D24" s="28"/>
      <c r="E24" s="28"/>
      <c r="F24" s="28"/>
      <c r="G24" s="28"/>
      <c r="H24" s="28"/>
      <c r="I24" s="28"/>
      <c r="J24" s="28"/>
      <c r="K24" s="28"/>
      <c r="L24" s="28"/>
      <c r="M24" s="28"/>
      <c r="N24" s="28"/>
      <c r="O24" s="28"/>
      <c r="P24" s="28"/>
      <c r="Q24" s="28"/>
      <c r="R24" s="28"/>
      <c r="S24" s="28"/>
      <c r="T24" s="28"/>
    </row>
    <row r="25" spans="1:22" ht="15.75" x14ac:dyDescent="0.25">
      <c r="A25" s="608"/>
      <c r="B25" s="608"/>
      <c r="C25" s="608"/>
      <c r="D25" s="28"/>
      <c r="E25" s="28"/>
      <c r="F25" s="28"/>
      <c r="G25" s="28"/>
      <c r="H25" s="28"/>
      <c r="I25" s="28"/>
      <c r="J25" s="28"/>
      <c r="K25" s="28"/>
      <c r="L25" s="28"/>
      <c r="M25" s="28"/>
      <c r="N25" s="28"/>
      <c r="O25" s="28"/>
      <c r="P25" s="28"/>
      <c r="Q25" s="28"/>
      <c r="R25" s="28"/>
      <c r="S25" s="28"/>
      <c r="T25" s="28"/>
    </row>
    <row r="26" spans="1:22" ht="15.75" x14ac:dyDescent="0.25">
      <c r="A26" s="608"/>
      <c r="B26" s="608"/>
      <c r="C26" s="608"/>
      <c r="D26" s="28"/>
      <c r="E26" s="28"/>
      <c r="F26" s="28"/>
      <c r="G26" s="28"/>
      <c r="H26" s="28"/>
      <c r="I26" s="28"/>
      <c r="J26" s="28"/>
      <c r="K26" s="28"/>
      <c r="L26" s="28"/>
      <c r="M26" s="28"/>
      <c r="N26" s="28"/>
      <c r="O26" s="28"/>
      <c r="P26" s="28"/>
      <c r="Q26" s="28"/>
      <c r="R26" s="28"/>
      <c r="S26" s="28"/>
      <c r="T26" s="28"/>
    </row>
    <row r="27" spans="1:22" ht="15.75" x14ac:dyDescent="0.25">
      <c r="A27" s="745" t="s">
        <v>173</v>
      </c>
      <c r="B27" s="745"/>
      <c r="C27" s="745"/>
      <c r="D27" s="28" t="s">
        <v>174</v>
      </c>
      <c r="E27" s="28"/>
      <c r="F27" s="28"/>
      <c r="G27" s="28"/>
      <c r="H27" s="28"/>
      <c r="I27" s="28"/>
      <c r="J27" s="28"/>
      <c r="K27" s="28"/>
      <c r="L27" s="28"/>
      <c r="M27" s="28"/>
      <c r="N27" s="28"/>
      <c r="O27" s="28"/>
      <c r="P27" s="28"/>
      <c r="Q27" s="28"/>
      <c r="R27" s="28"/>
      <c r="S27" s="28"/>
      <c r="T27" s="28"/>
    </row>
    <row r="28" spans="1:22" ht="15.75" x14ac:dyDescent="0.25">
      <c r="A28" s="608"/>
      <c r="B28" s="608"/>
      <c r="C28" s="608"/>
      <c r="D28" s="33" t="s">
        <v>168</v>
      </c>
      <c r="E28" s="28"/>
      <c r="F28" s="28" t="s">
        <v>175</v>
      </c>
      <c r="G28" s="28"/>
      <c r="H28" s="28"/>
      <c r="I28" s="28"/>
      <c r="J28" s="28"/>
      <c r="K28" s="28"/>
      <c r="L28" s="28"/>
      <c r="M28" s="28"/>
      <c r="N28" s="28"/>
      <c r="O28" s="28"/>
      <c r="P28" s="28"/>
      <c r="Q28" s="28"/>
      <c r="R28" s="28"/>
      <c r="S28" s="28"/>
      <c r="T28" s="28"/>
    </row>
    <row r="29" spans="1:22" ht="15.75" x14ac:dyDescent="0.25">
      <c r="A29" s="608"/>
      <c r="B29" s="608"/>
      <c r="C29" s="608"/>
      <c r="D29" s="28" t="s">
        <v>170</v>
      </c>
      <c r="E29" s="28"/>
      <c r="F29" s="28" t="s">
        <v>176</v>
      </c>
      <c r="G29" s="28"/>
      <c r="H29" s="28"/>
      <c r="I29" s="28"/>
      <c r="J29" s="28"/>
      <c r="K29" s="28"/>
      <c r="L29" s="28"/>
      <c r="M29" s="28"/>
      <c r="N29" s="28"/>
      <c r="O29" s="28"/>
      <c r="P29" s="28"/>
      <c r="Q29" s="28"/>
      <c r="R29" s="28"/>
      <c r="S29" s="28"/>
      <c r="T29" s="28"/>
    </row>
    <row r="30" spans="1:22" ht="15.75" x14ac:dyDescent="0.25">
      <c r="A30" s="746"/>
      <c r="B30" s="746"/>
      <c r="C30" s="746"/>
      <c r="D30" s="28"/>
      <c r="E30" s="28"/>
      <c r="F30" s="28" t="s">
        <v>172</v>
      </c>
      <c r="G30" s="28"/>
      <c r="H30" s="28"/>
      <c r="I30" s="28"/>
      <c r="J30" s="28"/>
      <c r="K30" s="28"/>
      <c r="L30" s="28"/>
      <c r="M30" s="28"/>
      <c r="N30" s="28"/>
      <c r="O30" s="28"/>
      <c r="P30" s="28"/>
      <c r="Q30" s="28"/>
      <c r="R30" s="28"/>
      <c r="S30" s="28"/>
      <c r="T30" s="28"/>
      <c r="V30" s="26"/>
    </row>
    <row r="31" spans="1:22" ht="15.75" x14ac:dyDescent="0.25">
      <c r="A31" s="39"/>
      <c r="B31" s="39"/>
      <c r="C31" s="39"/>
      <c r="D31" s="28"/>
      <c r="E31" s="28"/>
      <c r="F31" s="28"/>
      <c r="G31" s="28"/>
      <c r="H31" s="28"/>
      <c r="I31" s="28"/>
      <c r="J31" s="28"/>
      <c r="K31" s="28"/>
      <c r="L31" s="28"/>
      <c r="M31" s="28"/>
      <c r="N31" s="28"/>
      <c r="O31" s="28"/>
      <c r="P31" s="28"/>
      <c r="Q31" s="28"/>
      <c r="R31" s="28"/>
      <c r="S31" s="28"/>
      <c r="T31" s="28"/>
      <c r="V31" s="26"/>
    </row>
    <row r="32" spans="1:22" ht="15.75" x14ac:dyDescent="0.25">
      <c r="A32" s="39"/>
      <c r="B32" s="39"/>
      <c r="C32" s="39"/>
      <c r="D32" s="28"/>
      <c r="E32" s="28"/>
      <c r="F32" s="28"/>
      <c r="G32" s="28"/>
      <c r="H32" s="28"/>
      <c r="I32" s="28"/>
      <c r="J32" s="28"/>
      <c r="K32" s="28"/>
      <c r="L32" s="28"/>
      <c r="M32" s="28"/>
      <c r="N32" s="28"/>
      <c r="O32" s="28"/>
      <c r="P32" s="28"/>
      <c r="Q32" s="28"/>
      <c r="R32" s="28"/>
      <c r="S32" s="28"/>
      <c r="T32" s="28"/>
      <c r="V32" s="26"/>
    </row>
    <row r="33" spans="1:22" ht="15.75" x14ac:dyDescent="0.25">
      <c r="A33" s="39"/>
      <c r="B33" s="39"/>
      <c r="C33" s="39"/>
      <c r="D33" s="28"/>
      <c r="E33" s="28"/>
      <c r="F33" s="28"/>
      <c r="G33" s="28"/>
      <c r="H33" s="28"/>
      <c r="I33" s="28"/>
      <c r="J33" s="28"/>
      <c r="K33" s="28"/>
      <c r="L33" s="28"/>
      <c r="M33" s="28"/>
      <c r="N33" s="28"/>
      <c r="O33" s="28"/>
      <c r="P33" s="28"/>
      <c r="Q33" s="28"/>
      <c r="R33" s="28"/>
      <c r="S33" s="28"/>
      <c r="T33" s="28"/>
      <c r="V33" s="26"/>
    </row>
    <row r="34" spans="1:22" ht="15.75" x14ac:dyDescent="0.25">
      <c r="A34" s="39"/>
      <c r="B34" s="39"/>
      <c r="C34" s="39"/>
      <c r="D34" s="28"/>
      <c r="E34" s="28"/>
      <c r="F34" s="28"/>
      <c r="G34" s="28"/>
      <c r="H34" s="28"/>
      <c r="I34" s="28"/>
      <c r="J34" s="28"/>
      <c r="K34" s="28"/>
      <c r="L34" s="28"/>
      <c r="M34" s="28"/>
      <c r="N34" s="28"/>
      <c r="O34" s="28"/>
      <c r="P34" s="28"/>
      <c r="Q34" s="28"/>
      <c r="R34" s="28"/>
      <c r="S34" s="28"/>
      <c r="T34" s="28"/>
      <c r="V34" s="26"/>
    </row>
    <row r="35" spans="1:22" ht="15.75" x14ac:dyDescent="0.25">
      <c r="A35" s="39"/>
      <c r="B35" s="39"/>
      <c r="C35" s="39"/>
      <c r="D35" s="28"/>
      <c r="E35" s="28"/>
      <c r="F35" s="28"/>
      <c r="G35" s="28"/>
      <c r="H35" s="28"/>
      <c r="I35" s="28"/>
      <c r="J35" s="28"/>
      <c r="K35" s="28"/>
      <c r="L35" s="28"/>
      <c r="M35" s="28"/>
      <c r="N35" s="28"/>
      <c r="O35" s="28"/>
      <c r="P35" s="28"/>
      <c r="Q35" s="28"/>
      <c r="R35" s="28"/>
      <c r="S35" s="28"/>
      <c r="T35" s="28"/>
      <c r="V35" s="26"/>
    </row>
    <row r="36" spans="1:22" ht="18.75" x14ac:dyDescent="0.3">
      <c r="A36" s="606" t="e">
        <f>_xlfn.SINGLE('Simulateur Fusion CFDT'!#REF!)</f>
        <v>#REF!</v>
      </c>
      <c r="B36" s="606"/>
      <c r="C36" s="606"/>
      <c r="D36" s="27" t="s">
        <v>177</v>
      </c>
      <c r="E36" s="28"/>
      <c r="K36" s="28"/>
      <c r="L36" s="28"/>
      <c r="M36" s="28"/>
      <c r="N36" s="28"/>
      <c r="O36" s="28"/>
      <c r="P36" s="28"/>
      <c r="Q36" s="28"/>
      <c r="R36" s="28"/>
      <c r="S36" s="28"/>
      <c r="T36" s="28"/>
      <c r="V36" s="26"/>
    </row>
    <row r="37" spans="1:22" ht="15.75" x14ac:dyDescent="0.25">
      <c r="A37" s="744" t="s">
        <v>178</v>
      </c>
      <c r="B37" s="744"/>
      <c r="C37" s="744"/>
      <c r="D37" s="29" t="s">
        <v>163</v>
      </c>
      <c r="E37" s="28"/>
      <c r="F37" s="28" t="s">
        <v>179</v>
      </c>
      <c r="K37" s="28"/>
      <c r="L37" s="28"/>
      <c r="M37" s="28"/>
      <c r="N37" s="28"/>
      <c r="O37" s="28"/>
      <c r="P37" s="28"/>
      <c r="Q37" s="28"/>
      <c r="R37" s="28"/>
      <c r="S37" s="28"/>
      <c r="T37" s="28"/>
      <c r="V37" s="26"/>
    </row>
    <row r="38" spans="1:22" ht="15.75" x14ac:dyDescent="0.25">
      <c r="E38" s="28"/>
      <c r="K38" s="28"/>
      <c r="L38" s="28"/>
      <c r="M38" s="28"/>
      <c r="N38" s="28"/>
      <c r="O38" s="28"/>
      <c r="P38" s="28"/>
      <c r="Q38" s="28"/>
      <c r="R38" s="28"/>
      <c r="S38" s="28"/>
      <c r="T38" s="28"/>
      <c r="V38" s="26"/>
    </row>
    <row r="39" spans="1:22" ht="15.75" x14ac:dyDescent="0.25">
      <c r="K39" s="28"/>
      <c r="L39" s="28"/>
      <c r="M39" s="28"/>
      <c r="N39" s="28"/>
      <c r="O39" s="28"/>
      <c r="P39" s="28"/>
      <c r="Q39" s="28"/>
      <c r="R39" s="28"/>
      <c r="S39" s="28"/>
      <c r="T39" s="28"/>
      <c r="V39" s="26"/>
    </row>
    <row r="40" spans="1:22" ht="15.75" x14ac:dyDescent="0.25">
      <c r="K40" s="28"/>
      <c r="L40" s="28"/>
      <c r="M40" s="28"/>
      <c r="N40" s="28"/>
      <c r="O40" s="28"/>
      <c r="P40" s="28"/>
      <c r="Q40" s="28"/>
      <c r="R40" s="28"/>
      <c r="S40" s="28"/>
      <c r="T40" s="28"/>
      <c r="V40" s="26"/>
    </row>
    <row r="41" spans="1:22" ht="15.75" x14ac:dyDescent="0.25">
      <c r="K41" s="28"/>
      <c r="L41" s="28"/>
      <c r="M41" s="28"/>
      <c r="N41" s="28"/>
      <c r="O41" s="28"/>
      <c r="P41" s="28"/>
      <c r="Q41" s="28"/>
      <c r="R41" s="28"/>
      <c r="S41" s="28"/>
      <c r="T41" s="28"/>
      <c r="V41" s="26"/>
    </row>
    <row r="42" spans="1:22" ht="15.75" x14ac:dyDescent="0.25">
      <c r="K42" s="28"/>
      <c r="L42" s="28"/>
      <c r="M42" s="28"/>
      <c r="N42" s="28"/>
      <c r="O42" s="28"/>
      <c r="P42" s="28"/>
      <c r="Q42" s="28"/>
      <c r="R42" s="28"/>
      <c r="S42" s="28"/>
      <c r="T42" s="28"/>
      <c r="V42" s="26"/>
    </row>
    <row r="43" spans="1:22" ht="15.75" x14ac:dyDescent="0.25">
      <c r="K43" s="28"/>
      <c r="L43" s="28"/>
      <c r="M43" s="28"/>
      <c r="N43" s="28"/>
      <c r="O43" s="28"/>
      <c r="P43" s="28"/>
      <c r="Q43" s="28"/>
      <c r="R43" s="28"/>
      <c r="S43" s="28"/>
      <c r="T43" s="28"/>
      <c r="V43" s="26"/>
    </row>
    <row r="44" spans="1:22" ht="15.75" x14ac:dyDescent="0.25">
      <c r="F44" t="s">
        <v>180</v>
      </c>
      <c r="K44" s="28"/>
      <c r="L44" s="28"/>
      <c r="M44" s="28"/>
      <c r="N44" s="28"/>
      <c r="O44" s="28"/>
      <c r="P44" s="28"/>
      <c r="Q44" s="28"/>
      <c r="R44" s="28"/>
      <c r="S44" s="28"/>
      <c r="T44" s="28"/>
      <c r="V44" s="26"/>
    </row>
    <row r="45" spans="1:22" ht="15.75" x14ac:dyDescent="0.25">
      <c r="K45" s="28"/>
      <c r="L45" s="28"/>
      <c r="M45" s="28"/>
      <c r="N45" s="28"/>
      <c r="O45" s="28"/>
      <c r="P45" s="28"/>
      <c r="Q45" s="28"/>
      <c r="R45" s="28"/>
      <c r="S45" s="28"/>
      <c r="T45" s="28"/>
      <c r="V45" s="26"/>
    </row>
    <row r="46" spans="1:22" ht="15.75" x14ac:dyDescent="0.25">
      <c r="A46" s="39"/>
      <c r="B46" s="39"/>
      <c r="C46" s="39"/>
      <c r="D46" s="28"/>
      <c r="E46" s="28"/>
      <c r="F46" s="28"/>
      <c r="G46" s="28"/>
      <c r="H46" s="28"/>
      <c r="I46" s="28"/>
      <c r="J46" s="28"/>
      <c r="K46" s="28"/>
      <c r="L46" s="28"/>
      <c r="M46" s="28"/>
      <c r="N46" s="28"/>
      <c r="O46" s="28"/>
      <c r="P46" s="28"/>
      <c r="Q46" s="28"/>
      <c r="R46" s="28"/>
      <c r="S46" s="28"/>
      <c r="T46" s="28"/>
      <c r="V46" s="26"/>
    </row>
    <row r="47" spans="1:22" ht="15.75" x14ac:dyDescent="0.25">
      <c r="A47" s="39"/>
      <c r="B47" s="39"/>
      <c r="C47" s="39"/>
      <c r="D47" s="28"/>
      <c r="E47" s="28"/>
      <c r="F47" s="28"/>
      <c r="G47" s="28"/>
      <c r="H47" s="28"/>
      <c r="I47" s="28"/>
      <c r="J47" s="28"/>
      <c r="K47" s="28"/>
      <c r="L47" s="28"/>
      <c r="M47" s="28"/>
      <c r="N47" s="28"/>
      <c r="O47" s="28"/>
      <c r="P47" s="28"/>
      <c r="Q47" s="28"/>
      <c r="R47" s="28"/>
      <c r="S47" s="28"/>
      <c r="T47" s="28"/>
      <c r="V47" s="26"/>
    </row>
    <row r="48" spans="1:22" ht="15.75" x14ac:dyDescent="0.25">
      <c r="A48" s="39"/>
      <c r="B48" s="39"/>
      <c r="C48" s="39"/>
      <c r="D48" s="28"/>
      <c r="E48" s="28"/>
      <c r="F48" s="28"/>
      <c r="G48" s="28"/>
      <c r="H48" s="28"/>
      <c r="I48" s="28"/>
      <c r="J48" s="28"/>
      <c r="K48" s="28"/>
      <c r="L48" s="28"/>
      <c r="M48" s="28"/>
      <c r="N48" s="28"/>
      <c r="O48" s="28"/>
      <c r="P48" s="28"/>
      <c r="Q48" s="28"/>
      <c r="R48" s="28"/>
      <c r="S48" s="28"/>
      <c r="T48" s="28"/>
      <c r="V48" s="26"/>
    </row>
    <row r="49" spans="1:22" ht="15.75" x14ac:dyDescent="0.25">
      <c r="A49" s="39"/>
      <c r="B49" s="39"/>
      <c r="C49" s="39"/>
      <c r="D49" s="28"/>
      <c r="E49" s="28"/>
      <c r="F49" s="28"/>
      <c r="G49" s="28"/>
      <c r="H49" s="28"/>
      <c r="I49" s="28"/>
      <c r="J49" s="28"/>
      <c r="K49" s="28"/>
      <c r="L49" s="28"/>
      <c r="M49" s="28"/>
      <c r="N49" s="28"/>
      <c r="O49" s="28"/>
      <c r="P49" s="28"/>
      <c r="Q49" s="28"/>
      <c r="R49" s="28"/>
      <c r="S49" s="28"/>
      <c r="T49" s="28"/>
      <c r="V49" s="26"/>
    </row>
    <row r="50" spans="1:22" ht="15.75" x14ac:dyDescent="0.25">
      <c r="A50" s="39"/>
      <c r="B50" s="39"/>
      <c r="C50" s="39"/>
      <c r="D50" s="28"/>
      <c r="E50" s="28"/>
      <c r="F50" s="28"/>
      <c r="G50" s="28"/>
      <c r="H50" s="28"/>
      <c r="I50" s="28"/>
      <c r="J50" s="28"/>
      <c r="K50" s="28"/>
      <c r="L50" s="28"/>
      <c r="M50" s="28"/>
      <c r="N50" s="28"/>
      <c r="O50" s="28"/>
      <c r="P50" s="28"/>
      <c r="Q50" s="28"/>
      <c r="R50" s="28"/>
      <c r="S50" s="28"/>
      <c r="T50" s="28"/>
      <c r="V50" s="26"/>
    </row>
    <row r="51" spans="1:22" ht="18.75" x14ac:dyDescent="0.3">
      <c r="A51" s="606">
        <f>'Simulateur Fusion CFDT'!D6</f>
        <v>0</v>
      </c>
      <c r="B51" s="606"/>
      <c r="C51" s="606" t="s">
        <v>181</v>
      </c>
      <c r="D51" s="27" t="s">
        <v>182</v>
      </c>
      <c r="E51" s="28"/>
      <c r="G51" s="28"/>
      <c r="H51" s="28"/>
      <c r="I51" s="28"/>
      <c r="J51" s="28"/>
      <c r="K51" s="28"/>
      <c r="L51" s="28"/>
      <c r="M51" s="28"/>
      <c r="N51" s="28"/>
      <c r="O51" s="28"/>
      <c r="P51" s="28"/>
      <c r="Q51" s="28"/>
      <c r="R51" s="28"/>
      <c r="S51" s="28"/>
      <c r="T51" s="28"/>
    </row>
    <row r="52" spans="1:22" ht="15.75" x14ac:dyDescent="0.25">
      <c r="A52" s="744" t="s">
        <v>183</v>
      </c>
      <c r="B52" s="744"/>
      <c r="C52" s="744"/>
      <c r="D52" s="29" t="s">
        <v>184</v>
      </c>
      <c r="E52" s="29"/>
      <c r="F52" s="28" t="s">
        <v>185</v>
      </c>
      <c r="G52" s="28"/>
      <c r="H52" s="28"/>
      <c r="I52" s="28"/>
      <c r="J52" s="28"/>
      <c r="K52" s="28"/>
      <c r="L52" s="28"/>
      <c r="M52" s="28"/>
      <c r="N52" s="28"/>
      <c r="O52" s="28"/>
      <c r="P52" s="28"/>
      <c r="Q52" s="28"/>
      <c r="R52" s="28"/>
      <c r="S52" s="28"/>
      <c r="T52" s="28"/>
    </row>
    <row r="53" spans="1:22" ht="15.75" x14ac:dyDescent="0.25">
      <c r="D53" s="28" t="s">
        <v>186</v>
      </c>
      <c r="E53" s="28"/>
      <c r="F53" s="28" t="s">
        <v>187</v>
      </c>
      <c r="G53" s="28"/>
      <c r="H53" s="28"/>
      <c r="I53" s="28"/>
      <c r="J53" s="28"/>
      <c r="K53" s="28"/>
      <c r="L53" s="28"/>
      <c r="M53" s="28"/>
      <c r="N53" s="28"/>
      <c r="O53" s="28"/>
      <c r="P53" s="28"/>
      <c r="Q53" s="28"/>
      <c r="R53" s="28"/>
      <c r="S53" s="28"/>
      <c r="T53" s="28"/>
    </row>
    <row r="54" spans="1:22" ht="15.75" x14ac:dyDescent="0.25">
      <c r="D54" s="28"/>
      <c r="E54" s="28"/>
      <c r="G54" s="28"/>
      <c r="H54" s="28"/>
      <c r="I54" s="28"/>
      <c r="J54" s="28"/>
      <c r="K54" s="28"/>
      <c r="L54" s="28"/>
      <c r="M54" s="28"/>
      <c r="N54" s="28"/>
      <c r="O54" s="28"/>
      <c r="P54" s="28"/>
      <c r="Q54" s="28"/>
      <c r="R54" s="28"/>
      <c r="S54" s="28"/>
      <c r="T54" s="28"/>
    </row>
    <row r="55" spans="1:22" ht="15.75" x14ac:dyDescent="0.25">
      <c r="D55" s="28"/>
      <c r="E55" s="28"/>
      <c r="F55" s="28"/>
      <c r="G55" s="28"/>
      <c r="H55" s="28"/>
      <c r="I55" s="28"/>
      <c r="J55" s="28"/>
      <c r="K55" s="28"/>
      <c r="L55" s="28"/>
      <c r="M55" s="28"/>
      <c r="N55" s="28"/>
      <c r="O55" s="28"/>
      <c r="P55" s="28"/>
      <c r="Q55" s="28"/>
      <c r="R55" s="28"/>
      <c r="T55" s="28"/>
    </row>
    <row r="56" spans="1:22" ht="15.75" x14ac:dyDescent="0.25">
      <c r="D56" s="28"/>
      <c r="E56" s="28"/>
      <c r="F56" s="28"/>
      <c r="G56" s="28"/>
      <c r="H56" s="28"/>
      <c r="I56" s="28"/>
      <c r="J56" s="28"/>
      <c r="K56" s="28"/>
      <c r="L56" s="28"/>
      <c r="M56" s="28"/>
      <c r="N56" s="28"/>
      <c r="O56" s="28"/>
      <c r="P56" s="28"/>
      <c r="Q56" s="28"/>
      <c r="R56" s="28"/>
      <c r="S56" s="28"/>
      <c r="T56" s="28"/>
    </row>
    <row r="57" spans="1:22" ht="15.75" x14ac:dyDescent="0.25">
      <c r="D57" s="28"/>
      <c r="E57" s="28"/>
      <c r="F57" s="28"/>
      <c r="G57" s="28"/>
      <c r="H57" s="28"/>
      <c r="I57" s="28"/>
      <c r="J57" s="28"/>
      <c r="K57" s="28"/>
      <c r="L57" s="28"/>
      <c r="M57" s="28"/>
      <c r="N57" s="28"/>
      <c r="O57" s="28"/>
      <c r="P57" s="28"/>
      <c r="Q57" s="28"/>
      <c r="R57" s="28"/>
      <c r="S57" s="28"/>
      <c r="T57" s="28"/>
    </row>
    <row r="58" spans="1:22" ht="15.75" x14ac:dyDescent="0.25">
      <c r="D58" s="28"/>
      <c r="E58" s="28"/>
      <c r="F58" s="28"/>
      <c r="G58" s="28"/>
      <c r="H58" s="28"/>
      <c r="I58" s="28"/>
      <c r="J58" s="28"/>
      <c r="K58" s="28"/>
      <c r="L58" s="28"/>
      <c r="M58" s="28"/>
      <c r="N58" s="28"/>
      <c r="O58" s="28"/>
      <c r="P58" s="28"/>
      <c r="Q58" s="28"/>
      <c r="R58" s="28"/>
      <c r="S58" s="28"/>
      <c r="T58" s="28"/>
    </row>
    <row r="59" spans="1:22" ht="15.75" x14ac:dyDescent="0.25">
      <c r="D59" s="28"/>
      <c r="E59" s="28"/>
      <c r="F59" s="28"/>
      <c r="G59" s="28"/>
      <c r="H59" s="28"/>
      <c r="I59" s="28"/>
      <c r="J59" s="28"/>
      <c r="K59" s="28"/>
      <c r="L59" s="28"/>
      <c r="M59" s="28"/>
      <c r="N59" s="28"/>
      <c r="O59" s="28"/>
      <c r="P59" s="28"/>
      <c r="Q59" s="28"/>
      <c r="R59" s="28"/>
      <c r="S59" s="28"/>
      <c r="T59" s="28"/>
    </row>
    <row r="60" spans="1:22" ht="15.75" x14ac:dyDescent="0.25">
      <c r="D60" s="28"/>
      <c r="E60" s="28"/>
      <c r="F60" s="28"/>
      <c r="G60" s="28"/>
      <c r="H60" s="28"/>
      <c r="I60" s="28"/>
      <c r="J60" s="28"/>
      <c r="K60" s="28"/>
      <c r="L60" s="28"/>
      <c r="M60" s="28"/>
      <c r="N60" s="28"/>
      <c r="O60" s="28"/>
      <c r="P60" s="28"/>
      <c r="Q60" s="28"/>
      <c r="R60" s="28"/>
      <c r="S60" s="28"/>
      <c r="T60" s="28"/>
    </row>
    <row r="61" spans="1:22" ht="15.75" x14ac:dyDescent="0.25">
      <c r="D61" s="30" t="s">
        <v>188</v>
      </c>
      <c r="E61" s="28"/>
      <c r="G61" s="28"/>
      <c r="H61" s="28"/>
      <c r="I61" s="28"/>
      <c r="J61" s="28"/>
      <c r="K61" s="28"/>
      <c r="L61" s="28"/>
      <c r="M61" s="28"/>
      <c r="N61" s="28"/>
      <c r="O61" s="28"/>
      <c r="P61" s="28"/>
      <c r="Q61" s="28"/>
      <c r="R61" s="28"/>
      <c r="S61" s="28"/>
      <c r="T61" s="28"/>
    </row>
    <row r="62" spans="1:22" ht="15.75" x14ac:dyDescent="0.25">
      <c r="D62" s="28"/>
      <c r="E62" s="28"/>
      <c r="F62" s="28"/>
      <c r="G62" s="28"/>
      <c r="H62" s="28"/>
      <c r="I62" s="28"/>
      <c r="J62" s="28"/>
      <c r="K62" s="28"/>
      <c r="L62" s="28"/>
      <c r="M62" s="28"/>
      <c r="N62" s="28"/>
      <c r="O62" s="28"/>
      <c r="P62" s="28"/>
      <c r="Q62" s="28"/>
      <c r="R62" s="28"/>
      <c r="S62" s="28"/>
      <c r="T62" s="28"/>
    </row>
  </sheetData>
  <sheetProtection algorithmName="SHA-512" hashValue="ViJCXgDOoFeKtD6P5/MbQ0m5bzVvBkoI+E+8UTs1uUpQh8uhVlG2u6CWsszJo2CfM+az4BWmQ3FA+FVzguqzSA==" saltValue="VfGY9HDCzeaT1Zyc/lmO/g==" spinCount="100000" sheet="1" objects="1" scenarios="1"/>
  <mergeCells count="28">
    <mergeCell ref="D1:I4"/>
    <mergeCell ref="A52:C52"/>
    <mergeCell ref="A6:C6"/>
    <mergeCell ref="A8:C8"/>
    <mergeCell ref="A7:C7"/>
    <mergeCell ref="A15:C15"/>
    <mergeCell ref="A16:C16"/>
    <mergeCell ref="A19:C19"/>
    <mergeCell ref="A9:C9"/>
    <mergeCell ref="A10:C10"/>
    <mergeCell ref="A11:C11"/>
    <mergeCell ref="A5:C5"/>
    <mergeCell ref="A12:C12"/>
    <mergeCell ref="A13:C13"/>
    <mergeCell ref="A14:C14"/>
    <mergeCell ref="A17:C17"/>
    <mergeCell ref="A51:C51"/>
    <mergeCell ref="A18:C18"/>
    <mergeCell ref="A29:C29"/>
    <mergeCell ref="A30:C30"/>
    <mergeCell ref="A36:C36"/>
    <mergeCell ref="A28:C28"/>
    <mergeCell ref="A21:C21"/>
    <mergeCell ref="A25:C25"/>
    <mergeCell ref="A26:C26"/>
    <mergeCell ref="A27:C27"/>
    <mergeCell ref="A20:C20"/>
    <mergeCell ref="A37:C37"/>
  </mergeCells>
  <hyperlinks>
    <hyperlink ref="D52" r:id="rId1" display="Go to my portal" xr:uid="{2D5DF70B-4263-4E14-9902-E5B34238C5BF}"/>
    <hyperlink ref="D10" r:id="rId2" display="Go to your total reward" xr:uid="{F95BEC58-232E-4E5D-97E1-BB8E49BD481B}"/>
    <hyperlink ref="D37" r:id="rId3" display="Go to your total reward" xr:uid="{589C7938-2215-456C-A422-BC033A3AA70F}"/>
    <hyperlink ref="D20" r:id="rId4" xr:uid="{BECCB192-EFC7-4D40-BD84-EE2816023E95}"/>
    <hyperlink ref="D28" r:id="rId5" xr:uid="{E7595848-8049-42B5-B7F3-844AECF6C8E2}"/>
    <hyperlink ref="I5" location="'Simulator RCC CFDT-EN'!A1" display="Retour au simulateur" xr:uid="{C033E82F-2877-4CF4-A843-197BBF78CDE9}"/>
  </hyperlinks>
  <pageMargins left="0.7" right="0.7" top="0.75" bottom="0.75" header="0.3" footer="0.3"/>
  <pageSetup orientation="portrait" r:id="rId6"/>
  <headerFooter>
    <oddHeader>&amp;R&amp;"Calibri"&amp;12&amp;KFF8C00CONFIDENTIAL &amp; RESTRICTED&amp;1#</oddHeader>
  </headerFooter>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9701E710D7B46870EE5584548DDCD" ma:contentTypeVersion="15" ma:contentTypeDescription="Crée un document." ma:contentTypeScope="" ma:versionID="b507adff86a09d64ffc2e2d02c5e2371">
  <xsd:schema xmlns:xsd="http://www.w3.org/2001/XMLSchema" xmlns:xs="http://www.w3.org/2001/XMLSchema" xmlns:p="http://schemas.microsoft.com/office/2006/metadata/properties" xmlns:ns2="210f095f-f234-4ae3-ac90-a19b25a2ffdd" xmlns:ns3="87e49ee1-5b2b-426a-b717-551a29936db6" targetNamespace="http://schemas.microsoft.com/office/2006/metadata/properties" ma:root="true" ma:fieldsID="9190537fa3303b2392a4b1da381a08d3" ns2:_="" ns3:_="">
    <xsd:import namespace="210f095f-f234-4ae3-ac90-a19b25a2ffdd"/>
    <xsd:import namespace="87e49ee1-5b2b-426a-b717-551a29936db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f095f-f234-4ae3-ac90-a19b25a2ff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76988d9-610c-4e18-82ec-a5ddc507972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e49ee1-5b2b-426a-b717-551a29936db6"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a84478a8-770d-427e-ba4a-f9e642d3d795}" ma:internalName="TaxCatchAll" ma:showField="CatchAllData" ma:web="87e49ee1-5b2b-426a-b717-551a29936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7e49ee1-5b2b-426a-b717-551a29936db6" xsi:nil="true"/>
    <lcf76f155ced4ddcb4097134ff3c332f xmlns="210f095f-f234-4ae3-ac90-a19b25a2ff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CE2781-8292-4882-A22D-EC70F0276ED2}"/>
</file>

<file path=customXml/itemProps2.xml><?xml version="1.0" encoding="utf-8"?>
<ds:datastoreItem xmlns:ds="http://schemas.openxmlformats.org/officeDocument/2006/customXml" ds:itemID="{8B37E26D-0C73-4E22-9C47-8C9A1D6359BB}">
  <ds:schemaRefs>
    <ds:schemaRef ds:uri="http://schemas.microsoft.com/sharepoint/v3/contenttype/forms"/>
  </ds:schemaRefs>
</ds:datastoreItem>
</file>

<file path=customXml/itemProps3.xml><?xml version="1.0" encoding="utf-8"?>
<ds:datastoreItem xmlns:ds="http://schemas.openxmlformats.org/officeDocument/2006/customXml" ds:itemID="{7C60CD38-BE44-4409-B878-72B024498F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Simulateur CFDT </vt:lpstr>
      <vt:lpstr>Aide</vt:lpstr>
      <vt:lpstr>Fusion CFDT </vt:lpstr>
      <vt:lpstr>Amadeus France</vt:lpstr>
      <vt:lpstr>Amadeus sas</vt:lpstr>
      <vt:lpstr>Ex.Slide chiffres</vt:lpstr>
      <vt:lpstr>Simulateur Fusion CFDT</vt:lpstr>
      <vt:lpstr>Aide_FR</vt:lpstr>
      <vt:lpstr>HELP_FR</vt:lpstr>
      <vt:lpstr>HELP_EN</vt:lpstr>
      <vt:lpstr>Proposition 1a</vt:lpstr>
      <vt:lpstr>Sheet1</vt:lpstr>
      <vt:lpstr>'Simulateur CFDT '!Merci__de_mettre_vous_information_dans_toutes</vt:lpstr>
      <vt:lpstr>Merci__de_mettre_vous_information_dans_toutes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Geraldine BRUNSTEIN</dc:creator>
  <cp:keywords/>
  <dc:description/>
  <cp:lastModifiedBy>Geraldine BRUNSTEIN</cp:lastModifiedBy>
  <cp:revision/>
  <dcterms:created xsi:type="dcterms:W3CDTF">2015-06-05T18:17:20Z</dcterms:created>
  <dcterms:modified xsi:type="dcterms:W3CDTF">2022-06-08T13:48:09Z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0x0101007649701E710D7B46870EE5584548DDCD</vt:lpwstr>
  </property>
  <property fmtid="{D5CDD505-2E9C-101B-9397-08002B2CF9AE}" pid="3" name="MSIP_Label_d2db9220-a04a-4f06-aab9-80cbe5287fb3_Enabled">
    <vt:lpwstr>true</vt:lpwstr>
  </property>
  <property fmtid="{D5CDD505-2E9C-101B-9397-08002B2CF9AE}" pid="4" name="MSIP_Label_d2db9220-a04a-4f06-aab9-80cbe5287fb3_SetDate">
    <vt:lpwstr>2022-05-30T20:33:28Z</vt:lpwstr>
  </property>
  <property fmtid="{D5CDD505-2E9C-101B-9397-08002B2CF9AE}" pid="5" name="MSIP_Label_d2db9220-a04a-4f06-aab9-80cbe5287fb3_Method">
    <vt:lpwstr>Standard</vt:lpwstr>
  </property>
  <property fmtid="{D5CDD505-2E9C-101B-9397-08002B2CF9AE}" pid="6" name="MSIP_Label_d2db9220-a04a-4f06-aab9-80cbe5287fb3_Name">
    <vt:lpwstr>d2db9220-a04a-4f06-aab9-80cbe5287fb3</vt:lpwstr>
  </property>
  <property fmtid="{D5CDD505-2E9C-101B-9397-08002B2CF9AE}" pid="7" name="MSIP_Label_d2db9220-a04a-4f06-aab9-80cbe5287fb3_SiteId">
    <vt:lpwstr>b3f4f7c2-72ce-4192-aba4-d6c7719b5766</vt:lpwstr>
  </property>
  <property fmtid="{D5CDD505-2E9C-101B-9397-08002B2CF9AE}" pid="8" name="MSIP_Label_d2db9220-a04a-4f06-aab9-80cbe5287fb3_ActionId">
    <vt:lpwstr>a23585bc-4acc-407c-adae-40003c018548</vt:lpwstr>
  </property>
  <property fmtid="{D5CDD505-2E9C-101B-9397-08002B2CF9AE}" pid="9" name="MSIP_Label_d2db9220-a04a-4f06-aab9-80cbe5287fb3_ContentBits">
    <vt:lpwstr>1</vt:lpwstr>
  </property>
</Properties>
</file>